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Users\x\Desktop\"/>
    </mc:Choice>
  </mc:AlternateContent>
  <xr:revisionPtr revIDLastSave="0" documentId="8_{E0FEB694-2AA9-4474-AA70-ADF4AD442A7F}" xr6:coauthVersionLast="47" xr6:coauthVersionMax="47" xr10:uidLastSave="{00000000-0000-0000-0000-000000000000}"/>
  <bookViews>
    <workbookView xWindow="-120" yWindow="-120" windowWidth="20730" windowHeight="11160" xr2:uid="{00000000-000D-0000-FFFF-FFFF00000000}"/>
  </bookViews>
  <sheets>
    <sheet name="Program #1" sheetId="1" r:id="rId1"/>
    <sheet name="Program #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3" i="2" l="1"/>
  <c r="D53" i="2"/>
  <c r="I43" i="2"/>
  <c r="C25" i="2"/>
  <c r="C24" i="2"/>
  <c r="D23" i="2"/>
  <c r="D24" i="2" s="1"/>
  <c r="D25" i="2" s="1"/>
  <c r="E25" i="2" s="1"/>
  <c r="F33" i="2" s="1"/>
  <c r="C23" i="2"/>
  <c r="C22" i="2"/>
  <c r="E22" i="2" s="1"/>
  <c r="C33" i="2" s="1"/>
  <c r="D14" i="2"/>
  <c r="E13" i="2"/>
  <c r="C32" i="2" s="1"/>
  <c r="D4" i="2"/>
  <c r="C34" i="2" s="1"/>
  <c r="E49" i="2" s="1"/>
  <c r="I53" i="1"/>
  <c r="D53" i="1"/>
  <c r="I43" i="1"/>
  <c r="C25" i="1"/>
  <c r="C24" i="1"/>
  <c r="D23" i="1"/>
  <c r="D24" i="1" s="1"/>
  <c r="D25" i="1" s="1"/>
  <c r="E25" i="1" s="1"/>
  <c r="F33" i="1" s="1"/>
  <c r="C23" i="1"/>
  <c r="E23" i="1" s="1"/>
  <c r="D33" i="1" s="1"/>
  <c r="C22" i="1"/>
  <c r="E22" i="1" s="1"/>
  <c r="C33" i="1" s="1"/>
  <c r="D14" i="1"/>
  <c r="E13" i="1"/>
  <c r="C32" i="1" s="1"/>
  <c r="D4" i="1"/>
  <c r="C34" i="1" s="1"/>
  <c r="E49" i="1" s="1"/>
  <c r="E23" i="2" l="1"/>
  <c r="D33" i="2" s="1"/>
  <c r="C35" i="1"/>
  <c r="D15" i="1"/>
  <c r="D16" i="1" s="1"/>
  <c r="E14" i="1"/>
  <c r="D32" i="1" s="1"/>
  <c r="E43" i="1" s="1"/>
  <c r="E24" i="1"/>
  <c r="E33" i="1" s="1"/>
  <c r="C35" i="2"/>
  <c r="C36" i="2" s="1"/>
  <c r="C37" i="2" s="1"/>
  <c r="E48" i="2" s="1"/>
  <c r="E50" i="2" s="1"/>
  <c r="D15" i="2"/>
  <c r="D16" i="2" s="1"/>
  <c r="E14" i="2"/>
  <c r="D32" i="2" s="1"/>
  <c r="E43" i="2" s="1"/>
  <c r="E24" i="2"/>
  <c r="E33" i="2" s="1"/>
  <c r="D17" i="2"/>
  <c r="E17" i="2" s="1"/>
  <c r="G32" i="2" s="1"/>
  <c r="E16" i="2"/>
  <c r="F32" i="2" s="1"/>
  <c r="E4" i="2"/>
  <c r="C5" i="2" s="1"/>
  <c r="E15" i="2"/>
  <c r="E32" i="2" s="1"/>
  <c r="D26" i="2"/>
  <c r="E26" i="2" s="1"/>
  <c r="G33" i="2" s="1"/>
  <c r="D43" i="2"/>
  <c r="C36" i="1"/>
  <c r="C37" i="1"/>
  <c r="E48" i="1" s="1"/>
  <c r="E50" i="1" s="1"/>
  <c r="D17" i="1"/>
  <c r="E17" i="1" s="1"/>
  <c r="G32" i="1" s="1"/>
  <c r="E16" i="1"/>
  <c r="F32" i="1" s="1"/>
  <c r="E4" i="1"/>
  <c r="C5" i="1" s="1"/>
  <c r="E15" i="1"/>
  <c r="E32" i="1" s="1"/>
  <c r="D26" i="1"/>
  <c r="E26" i="1" s="1"/>
  <c r="G33" i="1" s="1"/>
  <c r="D43" i="1"/>
  <c r="G43" i="2" l="1"/>
  <c r="H43" i="2"/>
  <c r="I44" i="2" s="1"/>
  <c r="I54" i="2" s="1"/>
  <c r="D5" i="2"/>
  <c r="D34" i="2" s="1"/>
  <c r="E5" i="2"/>
  <c r="C6" i="2" s="1"/>
  <c r="E44" i="2"/>
  <c r="E54" i="2" s="1"/>
  <c r="E55" i="2" s="1"/>
  <c r="D44" i="2"/>
  <c r="D54" i="2" s="1"/>
  <c r="D55" i="2" s="1"/>
  <c r="F43" i="2"/>
  <c r="G44" i="2" s="1"/>
  <c r="G54" i="2" s="1"/>
  <c r="D44" i="1"/>
  <c r="D54" i="1" s="1"/>
  <c r="D55" i="1" s="1"/>
  <c r="E44" i="1"/>
  <c r="E54" i="1" s="1"/>
  <c r="E55" i="1" s="1"/>
  <c r="H43" i="1"/>
  <c r="I44" i="1" s="1"/>
  <c r="I54" i="1" s="1"/>
  <c r="D5" i="1"/>
  <c r="D34" i="1" s="1"/>
  <c r="G43" i="1"/>
  <c r="H44" i="1" s="1"/>
  <c r="H54" i="1" s="1"/>
  <c r="F43" i="1"/>
  <c r="F44" i="1" s="1"/>
  <c r="F54" i="1" s="1"/>
  <c r="H44" i="2" l="1"/>
  <c r="H54" i="2" s="1"/>
  <c r="G62" i="2"/>
  <c r="H62" i="2" s="1"/>
  <c r="E56" i="2"/>
  <c r="F44" i="2"/>
  <c r="F54" i="2" s="1"/>
  <c r="F49" i="2"/>
  <c r="D35" i="2"/>
  <c r="D6" i="2"/>
  <c r="E34" i="2" s="1"/>
  <c r="E6" i="2"/>
  <c r="C7" i="2" s="1"/>
  <c r="D56" i="2"/>
  <c r="G61" i="2" s="1"/>
  <c r="H61" i="2" s="1"/>
  <c r="I61" i="2" s="1"/>
  <c r="D57" i="2"/>
  <c r="E56" i="1"/>
  <c r="G62" i="1"/>
  <c r="H62" i="1" s="1"/>
  <c r="F49" i="1"/>
  <c r="D35" i="1"/>
  <c r="E5" i="1"/>
  <c r="C6" i="1" s="1"/>
  <c r="G44" i="1"/>
  <c r="G54" i="1" s="1"/>
  <c r="G61" i="1"/>
  <c r="H61" i="1" s="1"/>
  <c r="I61" i="1" s="1"/>
  <c r="I62" i="1" s="1"/>
  <c r="D56" i="1"/>
  <c r="D57" i="1"/>
  <c r="E57" i="1" l="1"/>
  <c r="I62" i="2"/>
  <c r="D7" i="2"/>
  <c r="F34" i="2" s="1"/>
  <c r="G49" i="2"/>
  <c r="E35" i="2"/>
  <c r="E57" i="2"/>
  <c r="D36" i="2"/>
  <c r="D37" i="2"/>
  <c r="F48" i="2" s="1"/>
  <c r="F50" i="2" s="1"/>
  <c r="F55" i="2" s="1"/>
  <c r="D36" i="1"/>
  <c r="D37" i="1" s="1"/>
  <c r="F48" i="1" s="1"/>
  <c r="F50" i="1" s="1"/>
  <c r="F55" i="1" s="1"/>
  <c r="D6" i="1"/>
  <c r="E34" i="1" s="1"/>
  <c r="E6" i="1"/>
  <c r="C7" i="1" s="1"/>
  <c r="G63" i="2" l="1"/>
  <c r="H63" i="2" s="1"/>
  <c r="I63" i="2" s="1"/>
  <c r="F56" i="2"/>
  <c r="H49" i="2"/>
  <c r="F35" i="2"/>
  <c r="F57" i="2"/>
  <c r="E7" i="2"/>
  <c r="C8" i="2" s="1"/>
  <c r="D8" i="2" s="1"/>
  <c r="G34" i="2" s="1"/>
  <c r="E36" i="2"/>
  <c r="E37" i="2" s="1"/>
  <c r="G48" i="2" s="1"/>
  <c r="G50" i="2" s="1"/>
  <c r="G55" i="2" s="1"/>
  <c r="G63" i="1"/>
  <c r="H63" i="1" s="1"/>
  <c r="I63" i="1" s="1"/>
  <c r="F56" i="1"/>
  <c r="F57" i="1" s="1"/>
  <c r="D7" i="1"/>
  <c r="F34" i="1" s="1"/>
  <c r="G49" i="1"/>
  <c r="E35" i="1"/>
  <c r="G56" i="2" l="1"/>
  <c r="G57" i="2" s="1"/>
  <c r="G64" i="2"/>
  <c r="H64" i="2" s="1"/>
  <c r="I64" i="2" s="1"/>
  <c r="I49" i="2"/>
  <c r="G35" i="2"/>
  <c r="F36" i="2"/>
  <c r="F37" i="2" s="1"/>
  <c r="H48" i="2" s="1"/>
  <c r="H50" i="2" s="1"/>
  <c r="H55" i="2" s="1"/>
  <c r="H49" i="1"/>
  <c r="F35" i="1"/>
  <c r="E36" i="1"/>
  <c r="E37" i="1" s="1"/>
  <c r="G48" i="1" s="1"/>
  <c r="G50" i="1" s="1"/>
  <c r="G55" i="1" s="1"/>
  <c r="E7" i="1"/>
  <c r="C8" i="1" s="1"/>
  <c r="D8" i="1" s="1"/>
  <c r="G34" i="1" s="1"/>
  <c r="H56" i="2" l="1"/>
  <c r="G65" i="2"/>
  <c r="H65" i="2" s="1"/>
  <c r="H57" i="2"/>
  <c r="I65" i="2"/>
  <c r="D66" i="2"/>
  <c r="G36" i="2"/>
  <c r="G37" i="2" s="1"/>
  <c r="I48" i="2" s="1"/>
  <c r="I50" i="2" s="1"/>
  <c r="I55" i="2" s="1"/>
  <c r="F36" i="1"/>
  <c r="F37" i="1"/>
  <c r="H48" i="1" s="1"/>
  <c r="H50" i="1" s="1"/>
  <c r="H55" i="1" s="1"/>
  <c r="G64" i="1"/>
  <c r="H64" i="1" s="1"/>
  <c r="I64" i="1" s="1"/>
  <c r="G56" i="1"/>
  <c r="G57" i="1" s="1"/>
  <c r="I49" i="1"/>
  <c r="G35" i="1"/>
  <c r="G66" i="2" l="1"/>
  <c r="H66" i="2" s="1"/>
  <c r="I66" i="2" s="1"/>
  <c r="I56" i="2"/>
  <c r="D64" i="2"/>
  <c r="D65" i="2"/>
  <c r="I57" i="2"/>
  <c r="H56" i="1"/>
  <c r="H57" i="1" s="1"/>
  <c r="G65" i="1"/>
  <c r="H65" i="1" s="1"/>
  <c r="I65" i="1" s="1"/>
  <c r="G36" i="1"/>
  <c r="G37" i="1" s="1"/>
  <c r="I48" i="1" s="1"/>
  <c r="I50" i="1" s="1"/>
  <c r="I55" i="1" s="1"/>
  <c r="G66" i="1" l="1"/>
  <c r="H66" i="1" s="1"/>
  <c r="I66" i="1" s="1"/>
  <c r="I56" i="1"/>
  <c r="I57" i="1" s="1"/>
  <c r="D65" i="1"/>
  <c r="D64" i="1"/>
  <c r="D66" i="1"/>
</calcChain>
</file>

<file path=xl/sharedStrings.xml><?xml version="1.0" encoding="utf-8"?>
<sst xmlns="http://schemas.openxmlformats.org/spreadsheetml/2006/main" count="123" uniqueCount="56">
  <si>
    <t>Stage 1: Depreciation (25% reducing balance)</t>
  </si>
  <si>
    <t>Salvage Value:</t>
  </si>
  <si>
    <t>Years</t>
  </si>
  <si>
    <t>Initial Value</t>
  </si>
  <si>
    <t>Depreciation</t>
  </si>
  <si>
    <t>Residual Value</t>
  </si>
  <si>
    <t xml:space="preserve">The salvage value is how much the firm believes they can sell the asset for once it reached the end of its' economic life.  By "end of its' economic life", this means it has been fully depreciated. 
Depreciation is a non-case expense. These are monies that the government allows a compay to set aside tax-free, so that they will have cash available to assist in replacing the asset once it reaches the end of its' economic life. </t>
  </si>
  <si>
    <t>Operating Revenues</t>
  </si>
  <si>
    <t xml:space="preserve">Inflationary Adjustment to Revenues: </t>
  </si>
  <si>
    <t>Volume</t>
  </si>
  <si>
    <t>Price per Unit of Service</t>
  </si>
  <si>
    <t>Operating Revenue</t>
  </si>
  <si>
    <t xml:space="preserve">There are several ways to forecast future inflation. I normally use an inflationary adjustment between 2% and 3%, this is typically aligns with the 10 year Treasury rates. For the costs, in this scenario, I went a little more aggressive on the projected inflationary rate. Many finance folks will be a little more conservation when forecasting revenues (using a lower inflationary rate) and a bit more aggressive, yet realistic, when using an inflationary rate for costs. </t>
  </si>
  <si>
    <t>Operating Costs</t>
  </si>
  <si>
    <t>Inflationary Adjustment to Costs:</t>
  </si>
  <si>
    <t xml:space="preserve">Operating revenue are the revenues generated from the sell of good and services by a firm. </t>
  </si>
  <si>
    <t>Cost per Unit of Service</t>
  </si>
  <si>
    <t xml:space="preserve">Operating costs are those costs necessary to run the business. Operating costs include the cost of goods sold (COGS), which are costs directly related to the production of goods and services, but also includes other business expenses. </t>
  </si>
  <si>
    <t>Stage 2</t>
  </si>
  <si>
    <t>Revenues in Excess of Expenses</t>
  </si>
  <si>
    <t>Corporate Tax Rate:</t>
  </si>
  <si>
    <t>[Federal &amp; State]</t>
  </si>
  <si>
    <t>Earnings Before Tax (EBT)</t>
  </si>
  <si>
    <t>Tax Rate (28%)</t>
  </si>
  <si>
    <t>Net Income</t>
  </si>
  <si>
    <t>Stage 3: Cash Flow Estimations</t>
  </si>
  <si>
    <t>Net Working Capital = 15% of Revenues</t>
  </si>
  <si>
    <t>Net Working Capital (Current Assets)</t>
  </si>
  <si>
    <t xml:space="preserve">    Change in NWC</t>
  </si>
  <si>
    <t xml:space="preserve">     Cash Flow from Operations</t>
  </si>
  <si>
    <t xml:space="preserve">          Net Income</t>
  </si>
  <si>
    <t xml:space="preserve">          Depreciation</t>
  </si>
  <si>
    <t xml:space="preserve">     Net Cashflow from Operations</t>
  </si>
  <si>
    <t xml:space="preserve">     Cash Flow from Investments</t>
  </si>
  <si>
    <t xml:space="preserve">          Machine #1</t>
  </si>
  <si>
    <t xml:space="preserve">          Change in Net Cash Flow (NCF)</t>
  </si>
  <si>
    <t xml:space="preserve">     Total NCF (Invest &amp; Ops)</t>
  </si>
  <si>
    <t xml:space="preserve">     Present Value (PV)      </t>
  </si>
  <si>
    <t xml:space="preserve">     Cumulative Discounted Cashflows</t>
  </si>
  <si>
    <t>Stage 4: Capital Analyses</t>
  </si>
  <si>
    <t>Discounting Cash Flows</t>
  </si>
  <si>
    <t>Cash Flows</t>
  </si>
  <si>
    <t>Cash Flows discounted to today's $$</t>
  </si>
  <si>
    <t>Cumulative Discounted CFs</t>
  </si>
  <si>
    <t xml:space="preserve">Discount Rate (r) = </t>
  </si>
  <si>
    <t>Weighted Average Cost of Capital =</t>
  </si>
  <si>
    <t>Net Present Value (NPV) =</t>
  </si>
  <si>
    <t>IRR =</t>
  </si>
  <si>
    <t>Discounted Payback =</t>
  </si>
  <si>
    <t xml:space="preserve">The discount rate is typically set equal to a firm's cost of capital. This rate is used to discount future figures back to today's dollars. This is necessary when computing the NPV and discounted payback period. The weighted average costs of capital represents how much it costs a company to raise one dollar of investment capital. It is always expressed as a %. In this scenario, the cost of capital is 10%, which means it costs the company 10 cents to raise one $1 of capital. This is important when needing to interpret the internal rate of return (IRR). The IRR is always expressed as a % and refers to the expected return for every $1 invested in a project. In this case, the company expects an IRR of 33%, which means that anticipate earnes 33 cents on every $1 invested in the project. If the cost of capital is 10 center to raise a dollar of capital and the IRR is 33 cents per dollar of invested capital, then the firm stands to make 23 cents in profit for each $1 invested. This of course assumes that the financial assumptions and cash flow projections were accurate. Typically, a firm will expect a 20% to 30% IRR to consider an investment opportunity. This takes into account possible issues with the underlying assumptions. </t>
  </si>
  <si>
    <t>You'll notice that the volume increases as the technology is implemented, reaches its' high point in year 3, and then begins a decline. Why is this? This is due to market forces such as increased competition.</t>
  </si>
  <si>
    <t xml:space="preserve">Working capital is made up of the firm's current assets, which includes cash, short-term securities, account receivables, prepaid expenses, and inventory. The current assets are located in the balance sheet. </t>
  </si>
  <si>
    <t>Net Working Capital = 20% of Revenues</t>
  </si>
  <si>
    <t xml:space="preserve">          Machine #2</t>
  </si>
  <si>
    <t xml:space="preserve">     Total NCF (Investments + Ops)</t>
  </si>
  <si>
    <t>Discounted Cash Flows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</si>
</sst>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quot;$&quot;#,##0.00"/>
    <numFmt numFmtId="165" formatCode="_(* #,##0_);_(* \(#,##0\);_(* &quot;-&quot;??_);_(@_)"/>
    <numFmt numFmtId="166" formatCode="0.000"/>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
      <sz val="10"/>
      <color theme="1"/>
      <name val="Calibri"/>
      <family val="2"/>
      <scheme val="minor"/>
    </font>
  </fonts>
  <fills count="20">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theme="1"/>
        <bgColor indexed="64"/>
      </patternFill>
    </fill>
    <fill>
      <patternFill patternType="solid">
        <fgColor rgb="FFFF66FF"/>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15">
    <xf numFmtId="0" fontId="0" fillId="0" borderId="0" xfId="0"/>
    <xf numFmtId="0" fontId="0" fillId="5" borderId="11" xfId="0" applyFill="1" applyBorder="1" applyAlignment="1">
      <alignment horizontal="center"/>
    </xf>
    <xf numFmtId="0" fontId="0" fillId="6" borderId="13" xfId="0" applyFill="1" applyBorder="1" applyAlignment="1">
      <alignment horizontal="center"/>
    </xf>
    <xf numFmtId="0" fontId="0" fillId="6" borderId="12" xfId="0" applyFill="1" applyBorder="1" applyAlignment="1">
      <alignment horizontal="center"/>
    </xf>
    <xf numFmtId="164" fontId="0" fillId="0" borderId="0" xfId="0" applyNumberFormat="1"/>
    <xf numFmtId="0" fontId="0" fillId="6" borderId="14" xfId="0" applyFill="1" applyBorder="1" applyAlignment="1">
      <alignment horizontal="center"/>
    </xf>
    <xf numFmtId="0" fontId="0" fillId="10" borderId="0" xfId="0" applyFill="1"/>
    <xf numFmtId="0" fontId="0" fillId="3" borderId="0" xfId="0" applyFill="1"/>
    <xf numFmtId="44" fontId="0" fillId="10" borderId="0" xfId="2" applyFont="1" applyFill="1"/>
    <xf numFmtId="0" fontId="0" fillId="9" borderId="11" xfId="0" applyFill="1" applyBorder="1" applyAlignment="1">
      <alignment horizontal="center"/>
    </xf>
    <xf numFmtId="0" fontId="0" fillId="11" borderId="11" xfId="0" applyFill="1" applyBorder="1" applyAlignment="1">
      <alignment horizontal="center"/>
    </xf>
    <xf numFmtId="0" fontId="0" fillId="10" borderId="11" xfId="0" applyFill="1" applyBorder="1" applyAlignment="1">
      <alignment horizontal="center"/>
    </xf>
    <xf numFmtId="0" fontId="0" fillId="2" borderId="11" xfId="0" applyFill="1" applyBorder="1" applyAlignment="1">
      <alignment horizontal="center"/>
    </xf>
    <xf numFmtId="0" fontId="0" fillId="0" borderId="13" xfId="0" applyBorder="1"/>
    <xf numFmtId="164" fontId="0" fillId="0" borderId="13" xfId="0" applyNumberFormat="1" applyBorder="1"/>
    <xf numFmtId="8" fontId="0" fillId="0" borderId="13" xfId="0" applyNumberFormat="1" applyBorder="1"/>
    <xf numFmtId="0" fontId="0" fillId="4" borderId="13" xfId="0" applyFill="1" applyBorder="1"/>
    <xf numFmtId="8" fontId="0" fillId="4" borderId="13" xfId="0" applyNumberFormat="1" applyFill="1" applyBorder="1"/>
    <xf numFmtId="0" fontId="0" fillId="0" borderId="12" xfId="0" applyBorder="1"/>
    <xf numFmtId="8" fontId="0" fillId="0" borderId="12" xfId="0" applyNumberFormat="1" applyBorder="1"/>
    <xf numFmtId="164" fontId="0" fillId="0" borderId="12" xfId="0" applyNumberFormat="1" applyBorder="1"/>
    <xf numFmtId="0" fontId="0" fillId="5" borderId="0" xfId="0" applyFill="1"/>
    <xf numFmtId="0" fontId="0" fillId="7" borderId="0" xfId="0" applyFill="1"/>
    <xf numFmtId="10" fontId="0" fillId="7" borderId="0" xfId="0" applyNumberFormat="1" applyFill="1" applyAlignment="1">
      <alignment horizontal="left"/>
    </xf>
    <xf numFmtId="0" fontId="0" fillId="12" borderId="11" xfId="0" applyFill="1" applyBorder="1" applyAlignment="1">
      <alignment horizontal="center"/>
    </xf>
    <xf numFmtId="0" fontId="0" fillId="4" borderId="11" xfId="0" applyFill="1" applyBorder="1" applyAlignment="1">
      <alignment horizontal="center"/>
    </xf>
    <xf numFmtId="165" fontId="0" fillId="0" borderId="13" xfId="1" applyNumberFormat="1" applyFont="1" applyBorder="1"/>
    <xf numFmtId="164" fontId="0" fillId="0" borderId="14" xfId="0" applyNumberFormat="1" applyBorder="1"/>
    <xf numFmtId="0" fontId="0" fillId="6" borderId="13" xfId="0" applyFill="1" applyBorder="1"/>
    <xf numFmtId="165" fontId="0" fillId="6" borderId="13" xfId="1" applyNumberFormat="1" applyFont="1" applyFill="1" applyBorder="1"/>
    <xf numFmtId="164" fontId="0" fillId="6" borderId="13" xfId="0" applyNumberFormat="1" applyFill="1" applyBorder="1"/>
    <xf numFmtId="165" fontId="0" fillId="0" borderId="12" xfId="1" applyNumberFormat="1" applyFont="1" applyBorder="1"/>
    <xf numFmtId="9" fontId="0" fillId="7" borderId="0" xfId="0" applyNumberFormat="1" applyFill="1" applyAlignment="1">
      <alignment horizontal="left"/>
    </xf>
    <xf numFmtId="0" fontId="0" fillId="13" borderId="11" xfId="0" applyFill="1" applyBorder="1" applyAlignment="1">
      <alignment horizontal="center"/>
    </xf>
    <xf numFmtId="0" fontId="0" fillId="4" borderId="10" xfId="0" applyFill="1" applyBorder="1" applyAlignment="1">
      <alignment horizontal="center"/>
    </xf>
    <xf numFmtId="164" fontId="0" fillId="0" borderId="5" xfId="0" applyNumberFormat="1" applyBorder="1"/>
    <xf numFmtId="164" fontId="0" fillId="6" borderId="5" xfId="0" applyNumberFormat="1" applyFill="1" applyBorder="1"/>
    <xf numFmtId="164" fontId="0" fillId="0" borderId="8" xfId="0" applyNumberFormat="1" applyBorder="1"/>
    <xf numFmtId="0" fontId="0" fillId="14" borderId="0" xfId="0" applyFill="1"/>
    <xf numFmtId="9" fontId="0" fillId="14" borderId="0" xfId="0" applyNumberFormat="1" applyFill="1" applyAlignment="1">
      <alignment horizontal="left"/>
    </xf>
    <xf numFmtId="0" fontId="4" fillId="14" borderId="0" xfId="0" applyFont="1" applyFill="1"/>
    <xf numFmtId="9" fontId="0" fillId="0" borderId="0" xfId="0" applyNumberFormat="1" applyAlignment="1">
      <alignment horizontal="left"/>
    </xf>
    <xf numFmtId="0" fontId="4" fillId="0" borderId="0" xfId="0" applyFont="1"/>
    <xf numFmtId="0" fontId="0" fillId="15" borderId="9" xfId="0" applyFill="1" applyBorder="1" applyAlignment="1">
      <alignment horizontal="center"/>
    </xf>
    <xf numFmtId="0" fontId="0" fillId="15" borderId="11" xfId="0" applyFill="1" applyBorder="1" applyAlignment="1">
      <alignment horizontal="center"/>
    </xf>
    <xf numFmtId="0" fontId="0" fillId="4" borderId="1" xfId="0" applyFill="1" applyBorder="1"/>
    <xf numFmtId="164" fontId="0" fillId="4" borderId="3" xfId="0" applyNumberFormat="1" applyFill="1" applyBorder="1"/>
    <xf numFmtId="164" fontId="0" fillId="0" borderId="4" xfId="0" applyNumberFormat="1" applyBorder="1"/>
    <xf numFmtId="0" fontId="0" fillId="4" borderId="4" xfId="0" applyFill="1" applyBorder="1"/>
    <xf numFmtId="0" fontId="0" fillId="4" borderId="5" xfId="0" applyFill="1" applyBorder="1"/>
    <xf numFmtId="164" fontId="0" fillId="3" borderId="4" xfId="0" applyNumberFormat="1" applyFill="1" applyBorder="1"/>
    <xf numFmtId="164" fontId="0" fillId="3" borderId="13" xfId="0" applyNumberFormat="1" applyFill="1" applyBorder="1"/>
    <xf numFmtId="8" fontId="0" fillId="0" borderId="4" xfId="0" applyNumberFormat="1" applyBorder="1"/>
    <xf numFmtId="0" fontId="0" fillId="4" borderId="6" xfId="0" applyFill="1" applyBorder="1"/>
    <xf numFmtId="0" fontId="0" fillId="4" borderId="8" xfId="0" applyFill="1" applyBorder="1"/>
    <xf numFmtId="164" fontId="0" fillId="3" borderId="6" xfId="0" applyNumberFormat="1" applyFill="1" applyBorder="1"/>
    <xf numFmtId="164" fontId="0" fillId="3" borderId="12" xfId="0" applyNumberFormat="1" applyFill="1" applyBorder="1"/>
    <xf numFmtId="164" fontId="0" fillId="5" borderId="0" xfId="0" applyNumberFormat="1" applyFill="1"/>
    <xf numFmtId="164" fontId="0" fillId="7" borderId="0" xfId="0" applyNumberFormat="1" applyFill="1"/>
    <xf numFmtId="164" fontId="0" fillId="0" borderId="7" xfId="0" applyNumberFormat="1" applyBorder="1"/>
    <xf numFmtId="0" fontId="0" fillId="6" borderId="11" xfId="0" applyFill="1" applyBorder="1" applyAlignment="1">
      <alignment horizontal="center"/>
    </xf>
    <xf numFmtId="0" fontId="0" fillId="4" borderId="2" xfId="0" applyFill="1" applyBorder="1"/>
    <xf numFmtId="0" fontId="0" fillId="4" borderId="0" xfId="0" applyFill="1"/>
    <xf numFmtId="0" fontId="0" fillId="17" borderId="13" xfId="0" applyFill="1" applyBorder="1"/>
    <xf numFmtId="0" fontId="0" fillId="4" borderId="7" xfId="0" applyFill="1" applyBorder="1"/>
    <xf numFmtId="164" fontId="0" fillId="5" borderId="11" xfId="0" applyNumberFormat="1" applyFill="1" applyBorder="1" applyAlignment="1">
      <alignment horizontal="center" wrapText="1"/>
    </xf>
    <xf numFmtId="164" fontId="0" fillId="5" borderId="14" xfId="0" applyNumberFormat="1" applyFill="1" applyBorder="1" applyAlignment="1">
      <alignment horizontal="center" wrapText="1"/>
    </xf>
    <xf numFmtId="0" fontId="0" fillId="9" borderId="0" xfId="0" applyFill="1"/>
    <xf numFmtId="9" fontId="0" fillId="6" borderId="0" xfId="0" applyNumberFormat="1" applyFill="1" applyAlignment="1">
      <alignment horizontal="left"/>
    </xf>
    <xf numFmtId="0" fontId="0" fillId="4" borderId="13" xfId="0" applyFill="1" applyBorder="1" applyAlignment="1">
      <alignment horizontal="center"/>
    </xf>
    <xf numFmtId="164" fontId="0" fillId="8" borderId="4" xfId="0" applyNumberFormat="1" applyFill="1" applyBorder="1"/>
    <xf numFmtId="164" fontId="0" fillId="6" borderId="14" xfId="0" applyNumberFormat="1" applyFill="1" applyBorder="1"/>
    <xf numFmtId="164" fontId="0" fillId="18" borderId="14" xfId="0" applyNumberFormat="1" applyFill="1" applyBorder="1"/>
    <xf numFmtId="164" fontId="0" fillId="18" borderId="13" xfId="0" applyNumberFormat="1" applyFill="1" applyBorder="1"/>
    <xf numFmtId="164" fontId="0" fillId="6" borderId="0" xfId="0" applyNumberFormat="1" applyFill="1" applyAlignment="1">
      <alignment horizontal="right"/>
    </xf>
    <xf numFmtId="9" fontId="0" fillId="6" borderId="0" xfId="0" applyNumberFormat="1" applyFill="1" applyAlignment="1">
      <alignment horizontal="right"/>
    </xf>
    <xf numFmtId="2" fontId="0" fillId="6" borderId="0" xfId="0" applyNumberFormat="1" applyFill="1" applyAlignment="1">
      <alignment horizontal="right"/>
    </xf>
    <xf numFmtId="0" fontId="0" fillId="4" borderId="12" xfId="0" applyFill="1" applyBorder="1" applyAlignment="1">
      <alignment horizontal="center"/>
    </xf>
    <xf numFmtId="164" fontId="0" fillId="8" borderId="6" xfId="0" applyNumberFormat="1" applyFill="1" applyBorder="1"/>
    <xf numFmtId="164" fontId="0" fillId="6" borderId="12" xfId="0" applyNumberFormat="1" applyFill="1" applyBorder="1"/>
    <xf numFmtId="164" fontId="0" fillId="18" borderId="12" xfId="0" applyNumberFormat="1" applyFill="1" applyBorder="1"/>
    <xf numFmtId="0" fontId="0" fillId="19" borderId="0" xfId="0" applyFill="1"/>
    <xf numFmtId="9" fontId="0" fillId="19" borderId="0" xfId="0" applyNumberFormat="1" applyFill="1" applyAlignment="1">
      <alignment horizontal="left"/>
    </xf>
    <xf numFmtId="0" fontId="4" fillId="19" borderId="0" xfId="0" applyFont="1" applyFill="1"/>
    <xf numFmtId="164" fontId="0" fillId="4" borderId="13" xfId="0" applyNumberFormat="1" applyFill="1" applyBorder="1"/>
    <xf numFmtId="164" fontId="0" fillId="8" borderId="14" xfId="0" applyNumberFormat="1" applyFill="1" applyBorder="1"/>
    <xf numFmtId="164" fontId="0" fillId="8" borderId="13" xfId="0" applyNumberFormat="1" applyFill="1" applyBorder="1"/>
    <xf numFmtId="166" fontId="0" fillId="6" borderId="0" xfId="0" applyNumberFormat="1" applyFill="1" applyAlignment="1">
      <alignment horizontal="right"/>
    </xf>
    <xf numFmtId="164" fontId="0" fillId="4" borderId="12" xfId="0" applyNumberFormat="1" applyFill="1" applyBorder="1"/>
    <xf numFmtId="164" fontId="0" fillId="8" borderId="12" xfId="0" applyNumberFormat="1" applyFill="1" applyBorder="1"/>
    <xf numFmtId="0" fontId="3" fillId="11" borderId="1" xfId="0" applyFont="1" applyFill="1" applyBorder="1" applyAlignment="1">
      <alignment horizontal="left" vertical="top" wrapText="1"/>
    </xf>
    <xf numFmtId="0" fontId="3" fillId="11" borderId="2" xfId="0" applyFont="1" applyFill="1" applyBorder="1" applyAlignment="1">
      <alignment horizontal="left" vertical="top" wrapText="1"/>
    </xf>
    <xf numFmtId="0" fontId="3" fillId="11" borderId="3" xfId="0" applyFont="1" applyFill="1" applyBorder="1" applyAlignment="1">
      <alignment horizontal="left" vertical="top" wrapText="1"/>
    </xf>
    <xf numFmtId="0" fontId="3" fillId="11" borderId="4" xfId="0" applyFont="1" applyFill="1" applyBorder="1" applyAlignment="1">
      <alignment horizontal="left" vertical="top" wrapText="1"/>
    </xf>
    <xf numFmtId="0" fontId="3" fillId="11" borderId="0" xfId="0" applyFont="1" applyFill="1" applyAlignment="1">
      <alignment horizontal="left" vertical="top" wrapText="1"/>
    </xf>
    <xf numFmtId="0" fontId="3" fillId="11" borderId="5" xfId="0" applyFont="1" applyFill="1" applyBorder="1" applyAlignment="1">
      <alignment horizontal="left" vertical="top" wrapText="1"/>
    </xf>
    <xf numFmtId="0" fontId="3" fillId="11" borderId="6" xfId="0" applyFont="1" applyFill="1" applyBorder="1" applyAlignment="1">
      <alignment horizontal="left" vertical="top" wrapText="1"/>
    </xf>
    <xf numFmtId="0" fontId="3" fillId="11" borderId="7" xfId="0" applyFont="1" applyFill="1" applyBorder="1" applyAlignment="1">
      <alignment horizontal="left" vertical="top" wrapText="1"/>
    </xf>
    <xf numFmtId="0" fontId="3" fillId="11" borderId="8" xfId="0" applyFont="1" applyFill="1" applyBorder="1" applyAlignment="1">
      <alignment horizontal="left" vertical="top" wrapText="1"/>
    </xf>
    <xf numFmtId="0" fontId="0" fillId="6" borderId="9" xfId="0" applyFill="1" applyBorder="1" applyAlignment="1">
      <alignment horizontal="center"/>
    </xf>
    <xf numFmtId="0" fontId="0" fillId="6" borderId="15" xfId="0" applyFill="1" applyBorder="1" applyAlignment="1">
      <alignment horizontal="center"/>
    </xf>
    <xf numFmtId="0" fontId="0" fillId="6" borderId="10" xfId="0" applyFill="1" applyBorder="1" applyAlignment="1">
      <alignment horizontal="center"/>
    </xf>
    <xf numFmtId="0" fontId="0" fillId="16" borderId="6" xfId="0" applyFill="1" applyBorder="1" applyAlignment="1">
      <alignment horizontal="center"/>
    </xf>
    <xf numFmtId="0" fontId="0" fillId="16" borderId="15" xfId="0" applyFill="1" applyBorder="1" applyAlignment="1">
      <alignment horizontal="center"/>
    </xf>
    <xf numFmtId="0" fontId="0" fillId="16" borderId="10" xfId="0" applyFill="1" applyBorder="1" applyAlignment="1">
      <alignment horizontal="center"/>
    </xf>
    <xf numFmtId="0" fontId="0" fillId="16" borderId="9" xfId="0" applyFill="1" applyBorder="1" applyAlignment="1">
      <alignment horizontal="center"/>
    </xf>
    <xf numFmtId="164" fontId="2" fillId="7" borderId="7" xfId="0" applyNumberFormat="1" applyFont="1" applyFill="1" applyBorder="1" applyAlignment="1">
      <alignment horizontal="center"/>
    </xf>
    <xf numFmtId="0" fontId="0" fillId="11" borderId="2" xfId="0" applyFill="1" applyBorder="1" applyAlignment="1">
      <alignment horizontal="left" vertical="top" wrapText="1"/>
    </xf>
    <xf numFmtId="0" fontId="0" fillId="11" borderId="3" xfId="0" applyFill="1" applyBorder="1" applyAlignment="1">
      <alignment horizontal="left" vertical="top" wrapText="1"/>
    </xf>
    <xf numFmtId="0" fontId="0" fillId="11" borderId="4"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xf numFmtId="0" fontId="0" fillId="11" borderId="6" xfId="0" applyFill="1" applyBorder="1" applyAlignment="1">
      <alignment horizontal="left" vertical="top" wrapText="1"/>
    </xf>
    <xf numFmtId="0" fontId="0" fillId="11" borderId="7" xfId="0" applyFill="1" applyBorder="1" applyAlignment="1">
      <alignment horizontal="left" vertical="top" wrapText="1"/>
    </xf>
    <xf numFmtId="0" fontId="0" fillId="11" borderId="8" xfId="0" applyFill="1" applyBorder="1" applyAlignment="1">
      <alignment horizontal="left" vertical="top"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533400</xdr:colOff>
      <xdr:row>60</xdr:row>
      <xdr:rowOff>133350</xdr:rowOff>
    </xdr:from>
    <xdr:to>
      <xdr:col>2</xdr:col>
      <xdr:colOff>790575</xdr:colOff>
      <xdr:row>66</xdr:row>
      <xdr:rowOff>171450</xdr:rowOff>
    </xdr:to>
    <xdr:cxnSp macro="">
      <xdr:nvCxnSpPr>
        <xdr:cNvPr id="2" name="Straight Arrow Connector 1">
          <a:extLst>
            <a:ext uri="{FF2B5EF4-FFF2-40B4-BE49-F238E27FC236}">
              <a16:creationId xmlns:a16="http://schemas.microsoft.com/office/drawing/2014/main" id="{00000000-0008-0000-0000-000002000000}"/>
            </a:ext>
          </a:extLst>
        </xdr:cNvPr>
        <xdr:cNvCxnSpPr/>
      </xdr:nvCxnSpPr>
      <xdr:spPr>
        <a:xfrm flipH="1" flipV="1">
          <a:off x="1143000" y="12201525"/>
          <a:ext cx="1200150" cy="1190625"/>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xdr:col>
      <xdr:colOff>342900</xdr:colOff>
      <xdr:row>61</xdr:row>
      <xdr:rowOff>171450</xdr:rowOff>
    </xdr:from>
    <xdr:to>
      <xdr:col>2</xdr:col>
      <xdr:colOff>323850</xdr:colOff>
      <xdr:row>66</xdr:row>
      <xdr:rowOff>190500</xdr:rowOff>
    </xdr:to>
    <xdr:cxnSp macro="">
      <xdr:nvCxnSpPr>
        <xdr:cNvPr id="3" name="Straight Arrow Connector 2">
          <a:extLst>
            <a:ext uri="{FF2B5EF4-FFF2-40B4-BE49-F238E27FC236}">
              <a16:creationId xmlns:a16="http://schemas.microsoft.com/office/drawing/2014/main" id="{00000000-0008-0000-0000-000003000000}"/>
            </a:ext>
          </a:extLst>
        </xdr:cNvPr>
        <xdr:cNvCxnSpPr/>
      </xdr:nvCxnSpPr>
      <xdr:spPr>
        <a:xfrm flipH="1" flipV="1">
          <a:off x="952500" y="12430125"/>
          <a:ext cx="923925" cy="981075"/>
        </a:xfrm>
        <a:prstGeom prst="straightConnector1">
          <a:avLst/>
        </a:prstGeom>
        <a:ln>
          <a:tailEnd type="triangle"/>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4</xdr:col>
      <xdr:colOff>933450</xdr:colOff>
      <xdr:row>0</xdr:row>
      <xdr:rowOff>104775</xdr:rowOff>
    </xdr:from>
    <xdr:to>
      <xdr:col>5</xdr:col>
      <xdr:colOff>1057275</xdr:colOff>
      <xdr:row>2</xdr:row>
      <xdr:rowOff>190500</xdr:rowOff>
    </xdr:to>
    <xdr:cxnSp macro="">
      <xdr:nvCxnSpPr>
        <xdr:cNvPr id="4" name="Straight Arrow Connector 3">
          <a:extLst>
            <a:ext uri="{FF2B5EF4-FFF2-40B4-BE49-F238E27FC236}">
              <a16:creationId xmlns:a16="http://schemas.microsoft.com/office/drawing/2014/main" id="{00000000-0008-0000-0000-000004000000}"/>
            </a:ext>
          </a:extLst>
        </xdr:cNvPr>
        <xdr:cNvCxnSpPr/>
      </xdr:nvCxnSpPr>
      <xdr:spPr>
        <a:xfrm flipH="1" flipV="1">
          <a:off x="4867275" y="104775"/>
          <a:ext cx="1314450" cy="476250"/>
        </a:xfrm>
        <a:prstGeom prst="straightConnector1">
          <a:avLst/>
        </a:prstGeom>
        <a:ln>
          <a:tailEnd type="triangle"/>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3</xdr:col>
      <xdr:colOff>1200150</xdr:colOff>
      <xdr:row>2</xdr:row>
      <xdr:rowOff>95250</xdr:rowOff>
    </xdr:from>
    <xdr:to>
      <xdr:col>5</xdr:col>
      <xdr:colOff>1057275</xdr:colOff>
      <xdr:row>6</xdr:row>
      <xdr:rowOff>9525</xdr:rowOff>
    </xdr:to>
    <xdr:cxnSp macro="">
      <xdr:nvCxnSpPr>
        <xdr:cNvPr id="5" name="Straight Arrow Connector 4">
          <a:extLst>
            <a:ext uri="{FF2B5EF4-FFF2-40B4-BE49-F238E27FC236}">
              <a16:creationId xmlns:a16="http://schemas.microsoft.com/office/drawing/2014/main" id="{00000000-0008-0000-0000-000005000000}"/>
            </a:ext>
          </a:extLst>
        </xdr:cNvPr>
        <xdr:cNvCxnSpPr/>
      </xdr:nvCxnSpPr>
      <xdr:spPr>
        <a:xfrm flipH="1" flipV="1">
          <a:off x="3629025" y="485775"/>
          <a:ext cx="2552700" cy="6858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485775</xdr:colOff>
      <xdr:row>9</xdr:row>
      <xdr:rowOff>171450</xdr:rowOff>
    </xdr:from>
    <xdr:to>
      <xdr:col>5</xdr:col>
      <xdr:colOff>1047750</xdr:colOff>
      <xdr:row>13</xdr:row>
      <xdr:rowOff>0</xdr:rowOff>
    </xdr:to>
    <xdr:cxnSp macro="">
      <xdr:nvCxnSpPr>
        <xdr:cNvPr id="6" name="Straight Arrow Connector 5">
          <a:extLst>
            <a:ext uri="{FF2B5EF4-FFF2-40B4-BE49-F238E27FC236}">
              <a16:creationId xmlns:a16="http://schemas.microsoft.com/office/drawing/2014/main" id="{00000000-0008-0000-0000-000006000000}"/>
            </a:ext>
          </a:extLst>
        </xdr:cNvPr>
        <xdr:cNvCxnSpPr/>
      </xdr:nvCxnSpPr>
      <xdr:spPr>
        <a:xfrm flipH="1" flipV="1">
          <a:off x="5610225" y="1914525"/>
          <a:ext cx="561975" cy="609600"/>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5</xdr:col>
      <xdr:colOff>171450</xdr:colOff>
      <xdr:row>14</xdr:row>
      <xdr:rowOff>0</xdr:rowOff>
    </xdr:from>
    <xdr:to>
      <xdr:col>5</xdr:col>
      <xdr:colOff>1057275</xdr:colOff>
      <xdr:row>18</xdr:row>
      <xdr:rowOff>38100</xdr:rowOff>
    </xdr:to>
    <xdr:cxnSp macro="">
      <xdr:nvCxnSpPr>
        <xdr:cNvPr id="7" name="Straight Arrow Connector 6">
          <a:extLst>
            <a:ext uri="{FF2B5EF4-FFF2-40B4-BE49-F238E27FC236}">
              <a16:creationId xmlns:a16="http://schemas.microsoft.com/office/drawing/2014/main" id="{00000000-0008-0000-0000-000007000000}"/>
            </a:ext>
          </a:extLst>
        </xdr:cNvPr>
        <xdr:cNvCxnSpPr/>
      </xdr:nvCxnSpPr>
      <xdr:spPr>
        <a:xfrm flipH="1">
          <a:off x="5295900" y="2714625"/>
          <a:ext cx="885825" cy="819150"/>
        </a:xfrm>
        <a:prstGeom prst="straightConnector1">
          <a:avLst/>
        </a:prstGeom>
        <a:ln>
          <a:tailEnd type="triangle"/>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4</xdr:col>
      <xdr:colOff>1133475</xdr:colOff>
      <xdr:row>20</xdr:row>
      <xdr:rowOff>114300</xdr:rowOff>
    </xdr:from>
    <xdr:to>
      <xdr:col>5</xdr:col>
      <xdr:colOff>1047750</xdr:colOff>
      <xdr:row>22</xdr:row>
      <xdr:rowOff>104775</xdr:rowOff>
    </xdr:to>
    <xdr:cxnSp macro="">
      <xdr:nvCxnSpPr>
        <xdr:cNvPr id="8" name="Straight Arrow Connector 7">
          <a:extLst>
            <a:ext uri="{FF2B5EF4-FFF2-40B4-BE49-F238E27FC236}">
              <a16:creationId xmlns:a16="http://schemas.microsoft.com/office/drawing/2014/main" id="{00000000-0008-0000-0000-000008000000}"/>
            </a:ext>
          </a:extLst>
        </xdr:cNvPr>
        <xdr:cNvCxnSpPr/>
      </xdr:nvCxnSpPr>
      <xdr:spPr>
        <a:xfrm flipH="1" flipV="1">
          <a:off x="5067300" y="4000500"/>
          <a:ext cx="1104900" cy="381000"/>
        </a:xfrm>
        <a:prstGeom prst="straightConnector1">
          <a:avLst/>
        </a:prstGeom>
        <a:ln>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1171575</xdr:colOff>
      <xdr:row>11</xdr:row>
      <xdr:rowOff>104775</xdr:rowOff>
    </xdr:from>
    <xdr:to>
      <xdr:col>7</xdr:col>
      <xdr:colOff>885825</xdr:colOff>
      <xdr:row>18</xdr:row>
      <xdr:rowOff>171450</xdr:rowOff>
    </xdr:to>
    <xdr:cxnSp macro="">
      <xdr:nvCxnSpPr>
        <xdr:cNvPr id="9" name="Straight Arrow Connector 8">
          <a:extLst>
            <a:ext uri="{FF2B5EF4-FFF2-40B4-BE49-F238E27FC236}">
              <a16:creationId xmlns:a16="http://schemas.microsoft.com/office/drawing/2014/main" id="{00000000-0008-0000-0000-000009000000}"/>
            </a:ext>
          </a:extLst>
        </xdr:cNvPr>
        <xdr:cNvCxnSpPr/>
      </xdr:nvCxnSpPr>
      <xdr:spPr>
        <a:xfrm flipH="1" flipV="1">
          <a:off x="5105400" y="2238375"/>
          <a:ext cx="2981325" cy="1428750"/>
        </a:xfrm>
        <a:prstGeom prst="straightConnector1">
          <a:avLst/>
        </a:prstGeom>
        <a:ln>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38100</xdr:colOff>
      <xdr:row>22</xdr:row>
      <xdr:rowOff>180975</xdr:rowOff>
    </xdr:from>
    <xdr:to>
      <xdr:col>5</xdr:col>
      <xdr:colOff>1066800</xdr:colOff>
      <xdr:row>22</xdr:row>
      <xdr:rowOff>180975</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flipH="1">
          <a:off x="2495550" y="4448175"/>
          <a:ext cx="3724275" cy="0"/>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4</xdr:col>
      <xdr:colOff>1181100</xdr:colOff>
      <xdr:row>37</xdr:row>
      <xdr:rowOff>0</xdr:rowOff>
    </xdr:from>
    <xdr:to>
      <xdr:col>7</xdr:col>
      <xdr:colOff>876300</xdr:colOff>
      <xdr:row>38</xdr:row>
      <xdr:rowOff>19050</xdr:rowOff>
    </xdr:to>
    <xdr:cxnSp macro="">
      <xdr:nvCxnSpPr>
        <xdr:cNvPr id="3" name="Straight Arrow Connector 2">
          <a:extLst>
            <a:ext uri="{FF2B5EF4-FFF2-40B4-BE49-F238E27FC236}">
              <a16:creationId xmlns:a16="http://schemas.microsoft.com/office/drawing/2014/main" id="{00000000-0008-0000-0100-000003000000}"/>
            </a:ext>
          </a:extLst>
        </xdr:cNvPr>
        <xdr:cNvCxnSpPr/>
      </xdr:nvCxnSpPr>
      <xdr:spPr>
        <a:xfrm flipH="1">
          <a:off x="5143500" y="7191375"/>
          <a:ext cx="2981325" cy="209550"/>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5"/>
  <sheetViews>
    <sheetView tabSelected="1" workbookViewId="0">
      <selection activeCell="M5" sqref="M5"/>
    </sheetView>
  </sheetViews>
  <sheetFormatPr defaultRowHeight="15" x14ac:dyDescent="0.25"/>
  <cols>
    <col min="2" max="2" width="14.140625" customWidth="1"/>
    <col min="3" max="3" width="13.140625" bestFit="1" customWidth="1"/>
    <col min="4" max="4" width="22.5703125" bestFit="1" customWidth="1"/>
    <col min="5" max="5" width="17.85546875" customWidth="1"/>
    <col min="6" max="6" width="16" customWidth="1"/>
    <col min="7" max="7" width="15.140625" customWidth="1"/>
    <col min="8" max="9" width="13.5703125" bestFit="1" customWidth="1"/>
  </cols>
  <sheetData>
    <row r="1" spans="1:10" x14ac:dyDescent="0.25">
      <c r="A1" s="7" t="s">
        <v>0</v>
      </c>
      <c r="B1" s="7"/>
      <c r="C1" s="7"/>
      <c r="D1" s="7"/>
      <c r="E1" s="6" t="s">
        <v>1</v>
      </c>
      <c r="F1" s="8">
        <v>30000</v>
      </c>
      <c r="G1" s="6"/>
    </row>
    <row r="2" spans="1:10" ht="15.75" thickBot="1" x14ac:dyDescent="0.3"/>
    <row r="3" spans="1:10" ht="15.75" customHeight="1" thickBot="1" x14ac:dyDescent="0.3">
      <c r="B3" s="9" t="s">
        <v>2</v>
      </c>
      <c r="C3" s="10" t="s">
        <v>3</v>
      </c>
      <c r="D3" s="11" t="s">
        <v>4</v>
      </c>
      <c r="E3" s="12" t="s">
        <v>5</v>
      </c>
      <c r="G3" s="90" t="s">
        <v>6</v>
      </c>
      <c r="H3" s="91"/>
      <c r="I3" s="91"/>
      <c r="J3" s="92"/>
    </row>
    <row r="4" spans="1:10" x14ac:dyDescent="0.25">
      <c r="B4" s="13">
        <v>1</v>
      </c>
      <c r="C4" s="14">
        <v>170000</v>
      </c>
      <c r="D4" s="15">
        <f>C4*0.25</f>
        <v>42500</v>
      </c>
      <c r="E4" s="15">
        <f>C4-D4</f>
        <v>127500</v>
      </c>
      <c r="G4" s="93"/>
      <c r="H4" s="94"/>
      <c r="I4" s="94"/>
      <c r="J4" s="95"/>
    </row>
    <row r="5" spans="1:10" x14ac:dyDescent="0.25">
      <c r="B5" s="16">
        <v>2</v>
      </c>
      <c r="C5" s="17">
        <f>E4</f>
        <v>127500</v>
      </c>
      <c r="D5" s="17">
        <f>C5*0.25</f>
        <v>31875</v>
      </c>
      <c r="E5" s="17">
        <f>C5-D5</f>
        <v>95625</v>
      </c>
      <c r="G5" s="93"/>
      <c r="H5" s="94"/>
      <c r="I5" s="94"/>
      <c r="J5" s="95"/>
    </row>
    <row r="6" spans="1:10" x14ac:dyDescent="0.25">
      <c r="B6" s="13">
        <v>3</v>
      </c>
      <c r="C6" s="15">
        <f>E5</f>
        <v>95625</v>
      </c>
      <c r="D6" s="15">
        <f>C6*0.25</f>
        <v>23906.25</v>
      </c>
      <c r="E6" s="15">
        <f>C6-D6</f>
        <v>71718.75</v>
      </c>
      <c r="G6" s="93"/>
      <c r="H6" s="94"/>
      <c r="I6" s="94"/>
      <c r="J6" s="95"/>
    </row>
    <row r="7" spans="1:10" x14ac:dyDescent="0.25">
      <c r="B7" s="16">
        <v>4</v>
      </c>
      <c r="C7" s="17">
        <f>E6</f>
        <v>71718.75</v>
      </c>
      <c r="D7" s="17">
        <f>C7*0.25</f>
        <v>17929.6875</v>
      </c>
      <c r="E7" s="17">
        <f>C7-D7</f>
        <v>53789.0625</v>
      </c>
      <c r="G7" s="93"/>
      <c r="H7" s="94"/>
      <c r="I7" s="94"/>
      <c r="J7" s="95"/>
    </row>
    <row r="8" spans="1:10" ht="15.75" thickBot="1" x14ac:dyDescent="0.3">
      <c r="B8" s="18">
        <v>5</v>
      </c>
      <c r="C8" s="19">
        <f>E7</f>
        <v>53789.0625</v>
      </c>
      <c r="D8" s="19">
        <f>C8-E8</f>
        <v>13789.0625</v>
      </c>
      <c r="E8" s="20">
        <v>40000</v>
      </c>
      <c r="G8" s="96"/>
      <c r="H8" s="97"/>
      <c r="I8" s="97"/>
      <c r="J8" s="98"/>
    </row>
    <row r="10" spans="1:10" x14ac:dyDescent="0.25">
      <c r="A10" s="21" t="s">
        <v>7</v>
      </c>
      <c r="B10" s="21"/>
      <c r="C10" s="21"/>
      <c r="D10" s="21"/>
      <c r="E10" s="22" t="s">
        <v>8</v>
      </c>
      <c r="F10" s="22"/>
      <c r="G10" s="23">
        <v>0.02</v>
      </c>
    </row>
    <row r="11" spans="1:10" ht="15.75" thickBot="1" x14ac:dyDescent="0.3"/>
    <row r="12" spans="1:10" ht="15.75" thickBot="1" x14ac:dyDescent="0.3">
      <c r="B12" s="9" t="s">
        <v>2</v>
      </c>
      <c r="C12" s="12" t="s">
        <v>9</v>
      </c>
      <c r="D12" s="24" t="s">
        <v>10</v>
      </c>
      <c r="E12" s="25" t="s">
        <v>11</v>
      </c>
      <c r="G12" s="90" t="s">
        <v>12</v>
      </c>
      <c r="H12" s="91"/>
      <c r="I12" s="91"/>
      <c r="J12" s="92"/>
    </row>
    <row r="13" spans="1:10" ht="15" customHeight="1" x14ac:dyDescent="0.25">
      <c r="B13" s="13">
        <v>1</v>
      </c>
      <c r="C13" s="26">
        <v>3000</v>
      </c>
      <c r="D13" s="27">
        <v>130</v>
      </c>
      <c r="E13" s="14">
        <f>C13*D13</f>
        <v>390000</v>
      </c>
      <c r="G13" s="93"/>
      <c r="H13" s="94"/>
      <c r="I13" s="94"/>
      <c r="J13" s="95"/>
    </row>
    <row r="14" spans="1:10" x14ac:dyDescent="0.25">
      <c r="B14" s="28">
        <v>2</v>
      </c>
      <c r="C14" s="29">
        <v>6500</v>
      </c>
      <c r="D14" s="30">
        <f>D13*(1+$G$10)</f>
        <v>132.6</v>
      </c>
      <c r="E14" s="30">
        <f>C14*D14</f>
        <v>861900</v>
      </c>
      <c r="G14" s="93"/>
      <c r="H14" s="94"/>
      <c r="I14" s="94"/>
      <c r="J14" s="95"/>
    </row>
    <row r="15" spans="1:10" x14ac:dyDescent="0.25">
      <c r="B15" s="13">
        <v>3</v>
      </c>
      <c r="C15" s="26">
        <v>9200</v>
      </c>
      <c r="D15" s="14">
        <f t="shared" ref="D15:D17" si="0">D14*(1+$G$10)</f>
        <v>135.25200000000001</v>
      </c>
      <c r="E15" s="14">
        <f>C15*D15</f>
        <v>1244318.4000000001</v>
      </c>
      <c r="G15" s="93"/>
      <c r="H15" s="94"/>
      <c r="I15" s="94"/>
      <c r="J15" s="95"/>
    </row>
    <row r="16" spans="1:10" x14ac:dyDescent="0.25">
      <c r="B16" s="28">
        <v>4</v>
      </c>
      <c r="C16" s="29">
        <v>7500</v>
      </c>
      <c r="D16" s="30">
        <f t="shared" si="0"/>
        <v>137.95704000000001</v>
      </c>
      <c r="E16" s="30">
        <f>C16*D16</f>
        <v>1034677.8</v>
      </c>
      <c r="G16" s="93"/>
      <c r="H16" s="94"/>
      <c r="I16" s="94"/>
      <c r="J16" s="95"/>
    </row>
    <row r="17" spans="1:12" ht="15.75" thickBot="1" x14ac:dyDescent="0.3">
      <c r="B17" s="18">
        <v>5</v>
      </c>
      <c r="C17" s="31">
        <v>4000</v>
      </c>
      <c r="D17" s="20">
        <f t="shared" si="0"/>
        <v>140.71618080000002</v>
      </c>
      <c r="E17" s="20">
        <f>C17*D17</f>
        <v>562864.72320000012</v>
      </c>
      <c r="G17" s="96"/>
      <c r="H17" s="97"/>
      <c r="I17" s="97"/>
      <c r="J17" s="98"/>
    </row>
    <row r="18" spans="1:12" ht="15.75" thickBot="1" x14ac:dyDescent="0.3"/>
    <row r="19" spans="1:12" x14ac:dyDescent="0.25">
      <c r="A19" s="21" t="s">
        <v>13</v>
      </c>
      <c r="B19" s="21"/>
      <c r="C19" s="21"/>
      <c r="D19" s="21"/>
      <c r="E19" s="22" t="s">
        <v>14</v>
      </c>
      <c r="F19" s="22"/>
      <c r="G19" s="32">
        <v>0.1</v>
      </c>
      <c r="I19" s="90" t="s">
        <v>15</v>
      </c>
      <c r="J19" s="91"/>
      <c r="K19" s="91"/>
      <c r="L19" s="92"/>
    </row>
    <row r="20" spans="1:12" ht="15.75" thickBot="1" x14ac:dyDescent="0.3">
      <c r="I20" s="96"/>
      <c r="J20" s="97"/>
      <c r="K20" s="97"/>
      <c r="L20" s="98"/>
    </row>
    <row r="21" spans="1:12" ht="15.75" thickBot="1" x14ac:dyDescent="0.3">
      <c r="B21" s="9" t="s">
        <v>2</v>
      </c>
      <c r="C21" s="12" t="s">
        <v>9</v>
      </c>
      <c r="D21" s="33" t="s">
        <v>16</v>
      </c>
      <c r="E21" s="34" t="s">
        <v>13</v>
      </c>
    </row>
    <row r="22" spans="1:12" x14ac:dyDescent="0.25">
      <c r="B22" s="13">
        <v>1</v>
      </c>
      <c r="C22" s="13">
        <f>C13</f>
        <v>3000</v>
      </c>
      <c r="D22" s="14">
        <v>95</v>
      </c>
      <c r="E22" s="35">
        <f>C22*D22</f>
        <v>285000</v>
      </c>
      <c r="G22" s="90" t="s">
        <v>17</v>
      </c>
      <c r="H22" s="91"/>
      <c r="I22" s="91"/>
      <c r="J22" s="92"/>
    </row>
    <row r="23" spans="1:12" x14ac:dyDescent="0.25">
      <c r="B23" s="28">
        <v>2</v>
      </c>
      <c r="C23" s="28">
        <f>C14</f>
        <v>6500</v>
      </c>
      <c r="D23" s="30">
        <f>D22*(1+$G$19)</f>
        <v>104.50000000000001</v>
      </c>
      <c r="E23" s="36">
        <f>C23*D23</f>
        <v>679250.00000000012</v>
      </c>
      <c r="G23" s="93"/>
      <c r="H23" s="94"/>
      <c r="I23" s="94"/>
      <c r="J23" s="95"/>
    </row>
    <row r="24" spans="1:12" ht="15.75" thickBot="1" x14ac:dyDescent="0.3">
      <c r="B24" s="13">
        <v>3</v>
      </c>
      <c r="C24" s="13">
        <f>C15</f>
        <v>9200</v>
      </c>
      <c r="D24" s="14">
        <f t="shared" ref="D24:D26" si="1">D23*(1+$G$19)</f>
        <v>114.95000000000003</v>
      </c>
      <c r="E24" s="35">
        <f>C24*D24</f>
        <v>1057540.0000000002</v>
      </c>
      <c r="G24" s="96"/>
      <c r="H24" s="97"/>
      <c r="I24" s="97"/>
      <c r="J24" s="98"/>
    </row>
    <row r="25" spans="1:12" x14ac:dyDescent="0.25">
      <c r="B25" s="28">
        <v>4</v>
      </c>
      <c r="C25" s="28">
        <f>C16</f>
        <v>7500</v>
      </c>
      <c r="D25" s="30">
        <f t="shared" si="1"/>
        <v>126.44500000000005</v>
      </c>
      <c r="E25" s="36">
        <f>C25*D25</f>
        <v>948337.50000000035</v>
      </c>
    </row>
    <row r="26" spans="1:12" ht="15.75" thickBot="1" x14ac:dyDescent="0.3">
      <c r="B26" s="18">
        <v>5</v>
      </c>
      <c r="C26" s="18">
        <v>4000</v>
      </c>
      <c r="D26" s="20">
        <f t="shared" si="1"/>
        <v>139.08950000000007</v>
      </c>
      <c r="E26" s="37">
        <f>C26*D26</f>
        <v>556358.00000000023</v>
      </c>
    </row>
    <row r="28" spans="1:12" x14ac:dyDescent="0.25">
      <c r="A28" s="21" t="s">
        <v>18</v>
      </c>
      <c r="B28" s="21" t="s">
        <v>19</v>
      </c>
      <c r="C28" s="21"/>
      <c r="D28" s="21"/>
      <c r="E28" s="38" t="s">
        <v>20</v>
      </c>
      <c r="F28" s="39">
        <v>0.28000000000000003</v>
      </c>
      <c r="G28" s="40" t="s">
        <v>21</v>
      </c>
    </row>
    <row r="29" spans="1:12" ht="15.75" thickBot="1" x14ac:dyDescent="0.3">
      <c r="F29" s="41"/>
      <c r="G29" s="42"/>
    </row>
    <row r="30" spans="1:12" ht="15.75" thickBot="1" x14ac:dyDescent="0.3">
      <c r="C30" s="99" t="s">
        <v>2</v>
      </c>
      <c r="D30" s="100"/>
      <c r="E30" s="100"/>
      <c r="F30" s="100"/>
      <c r="G30" s="101"/>
    </row>
    <row r="31" spans="1:12" ht="15.75" thickBot="1" x14ac:dyDescent="0.3">
      <c r="C31" s="43">
        <v>1</v>
      </c>
      <c r="D31" s="44">
        <v>2</v>
      </c>
      <c r="E31" s="44">
        <v>3</v>
      </c>
      <c r="F31" s="44">
        <v>4</v>
      </c>
      <c r="G31" s="44">
        <v>5</v>
      </c>
    </row>
    <row r="32" spans="1:12" x14ac:dyDescent="0.25">
      <c r="A32" s="45" t="s">
        <v>7</v>
      </c>
      <c r="B32" s="46"/>
      <c r="C32" s="47">
        <f>E13</f>
        <v>390000</v>
      </c>
      <c r="D32" s="14">
        <f>E14</f>
        <v>861900</v>
      </c>
      <c r="E32" s="14">
        <f>E15</f>
        <v>1244318.4000000001</v>
      </c>
      <c r="F32" s="14">
        <f>E16</f>
        <v>1034677.8</v>
      </c>
      <c r="G32" s="14">
        <f>E17</f>
        <v>562864.72320000012</v>
      </c>
    </row>
    <row r="33" spans="1:9" x14ac:dyDescent="0.25">
      <c r="A33" s="48" t="s">
        <v>13</v>
      </c>
      <c r="B33" s="49"/>
      <c r="C33" s="50">
        <f>E22</f>
        <v>285000</v>
      </c>
      <c r="D33" s="51">
        <f>E23</f>
        <v>679250.00000000012</v>
      </c>
      <c r="E33" s="51">
        <f>E24</f>
        <v>1057540.0000000002</v>
      </c>
      <c r="F33" s="51">
        <f>E25</f>
        <v>948337.50000000035</v>
      </c>
      <c r="G33" s="51">
        <f>E26</f>
        <v>556358.00000000023</v>
      </c>
    </row>
    <row r="34" spans="1:9" x14ac:dyDescent="0.25">
      <c r="A34" s="48" t="s">
        <v>4</v>
      </c>
      <c r="B34" s="49"/>
      <c r="C34" s="52">
        <f>D4</f>
        <v>42500</v>
      </c>
      <c r="D34" s="15">
        <f>D5</f>
        <v>31875</v>
      </c>
      <c r="E34" s="15">
        <f>D6</f>
        <v>23906.25</v>
      </c>
      <c r="F34" s="15">
        <f>D7</f>
        <v>17929.6875</v>
      </c>
      <c r="G34" s="15">
        <f>D8</f>
        <v>13789.0625</v>
      </c>
    </row>
    <row r="35" spans="1:9" x14ac:dyDescent="0.25">
      <c r="A35" s="48" t="s">
        <v>22</v>
      </c>
      <c r="B35" s="49"/>
      <c r="C35" s="50">
        <f>C32-C33-C34</f>
        <v>62500</v>
      </c>
      <c r="D35" s="51">
        <f t="shared" ref="D35:G35" si="2">D32-D33-D34</f>
        <v>150774.99999999988</v>
      </c>
      <c r="E35" s="51">
        <f t="shared" si="2"/>
        <v>162872.14999999991</v>
      </c>
      <c r="F35" s="51">
        <f t="shared" si="2"/>
        <v>68410.612499999697</v>
      </c>
      <c r="G35" s="51">
        <f t="shared" si="2"/>
        <v>-7282.3393000001088</v>
      </c>
    </row>
    <row r="36" spans="1:9" x14ac:dyDescent="0.25">
      <c r="A36" s="48" t="s">
        <v>23</v>
      </c>
      <c r="B36" s="49"/>
      <c r="C36" s="47">
        <f>C35*0.28</f>
        <v>17500</v>
      </c>
      <c r="D36" s="14">
        <f t="shared" ref="D36:G36" si="3">D35*0.28</f>
        <v>42216.999999999971</v>
      </c>
      <c r="E36" s="14">
        <f t="shared" si="3"/>
        <v>45604.201999999976</v>
      </c>
      <c r="F36" s="14">
        <f t="shared" si="3"/>
        <v>19154.971499999916</v>
      </c>
      <c r="G36" s="14">
        <f t="shared" si="3"/>
        <v>-2039.0550040000307</v>
      </c>
    </row>
    <row r="37" spans="1:9" ht="15.75" thickBot="1" x14ac:dyDescent="0.3">
      <c r="A37" s="53" t="s">
        <v>24</v>
      </c>
      <c r="B37" s="54"/>
      <c r="C37" s="55">
        <f>C35-C36</f>
        <v>45000</v>
      </c>
      <c r="D37" s="56">
        <f t="shared" ref="D37:G37" si="4">D35-D36</f>
        <v>108557.99999999991</v>
      </c>
      <c r="E37" s="56">
        <f t="shared" si="4"/>
        <v>117267.94799999993</v>
      </c>
      <c r="F37" s="56">
        <f t="shared" si="4"/>
        <v>49255.640999999785</v>
      </c>
      <c r="G37" s="56">
        <f t="shared" si="4"/>
        <v>-5243.284296000078</v>
      </c>
    </row>
    <row r="38" spans="1:9" x14ac:dyDescent="0.25">
      <c r="C38" s="4"/>
      <c r="D38" s="4"/>
      <c r="E38" s="4"/>
      <c r="F38" s="4"/>
      <c r="G38" s="4"/>
    </row>
    <row r="39" spans="1:9" x14ac:dyDescent="0.25">
      <c r="A39" s="21" t="s">
        <v>25</v>
      </c>
      <c r="B39" s="21"/>
      <c r="C39" s="57"/>
      <c r="D39" s="57"/>
      <c r="E39" s="58" t="s">
        <v>26</v>
      </c>
      <c r="F39" s="58"/>
      <c r="G39" s="58"/>
    </row>
    <row r="40" spans="1:9" ht="15.75" thickBot="1" x14ac:dyDescent="0.3">
      <c r="C40" s="4"/>
      <c r="D40" s="59"/>
      <c r="E40" s="4"/>
      <c r="F40" s="4"/>
      <c r="G40" s="4"/>
    </row>
    <row r="41" spans="1:9" ht="15.75" thickBot="1" x14ac:dyDescent="0.3">
      <c r="D41" s="102" t="s">
        <v>2</v>
      </c>
      <c r="E41" s="103"/>
      <c r="F41" s="103"/>
      <c r="G41" s="103"/>
      <c r="H41" s="103"/>
      <c r="I41" s="104"/>
    </row>
    <row r="42" spans="1:9" ht="15.75" thickBot="1" x14ac:dyDescent="0.3">
      <c r="D42" s="60">
        <v>0</v>
      </c>
      <c r="E42" s="60">
        <v>1</v>
      </c>
      <c r="F42" s="60">
        <v>2</v>
      </c>
      <c r="G42" s="60">
        <v>3</v>
      </c>
      <c r="H42" s="60">
        <v>4</v>
      </c>
      <c r="I42" s="60">
        <v>5</v>
      </c>
    </row>
    <row r="43" spans="1:9" x14ac:dyDescent="0.25">
      <c r="A43" s="45" t="s">
        <v>27</v>
      </c>
      <c r="B43" s="61"/>
      <c r="C43" s="61"/>
      <c r="D43" s="14">
        <f>C32*0.15</f>
        <v>58500</v>
      </c>
      <c r="E43" s="14">
        <f t="shared" ref="E43:I43" si="5">D32*0.15</f>
        <v>129285</v>
      </c>
      <c r="F43" s="14">
        <f t="shared" si="5"/>
        <v>186647.76</v>
      </c>
      <c r="G43" s="14">
        <f t="shared" si="5"/>
        <v>155201.67000000001</v>
      </c>
      <c r="H43" s="14">
        <f t="shared" si="5"/>
        <v>84429.708480000016</v>
      </c>
      <c r="I43" s="14">
        <f t="shared" si="5"/>
        <v>0</v>
      </c>
    </row>
    <row r="44" spans="1:9" x14ac:dyDescent="0.25">
      <c r="A44" s="48" t="s">
        <v>28</v>
      </c>
      <c r="B44" s="62"/>
      <c r="C44" s="62"/>
      <c r="D44" s="14">
        <f>-D43</f>
        <v>-58500</v>
      </c>
      <c r="E44" s="14">
        <f>--(D43-E43)</f>
        <v>-70785</v>
      </c>
      <c r="F44" s="14">
        <f>--(E43-F43)</f>
        <v>-57362.760000000009</v>
      </c>
      <c r="G44" s="14">
        <f>(F43-G43)</f>
        <v>31446.089999999997</v>
      </c>
      <c r="H44" s="14">
        <f>G43-H43</f>
        <v>70771.961519999997</v>
      </c>
      <c r="I44" s="14">
        <f>H43-I43</f>
        <v>84429.708480000016</v>
      </c>
    </row>
    <row r="45" spans="1:9" ht="15.75" thickBot="1" x14ac:dyDescent="0.3">
      <c r="A45" s="48"/>
      <c r="B45" s="62"/>
      <c r="C45" s="62"/>
      <c r="D45" s="63"/>
      <c r="E45" s="63"/>
      <c r="F45" s="63"/>
      <c r="G45" s="63"/>
      <c r="H45" s="63"/>
      <c r="I45" s="63"/>
    </row>
    <row r="46" spans="1:9" ht="15.75" thickBot="1" x14ac:dyDescent="0.3">
      <c r="A46" s="48"/>
      <c r="B46" s="62"/>
      <c r="C46" s="62"/>
      <c r="D46" s="105" t="s">
        <v>2</v>
      </c>
      <c r="E46" s="103"/>
      <c r="F46" s="103"/>
      <c r="G46" s="103"/>
      <c r="H46" s="103"/>
      <c r="I46" s="104"/>
    </row>
    <row r="47" spans="1:9" ht="15.75" thickBot="1" x14ac:dyDescent="0.3">
      <c r="A47" s="48" t="s">
        <v>29</v>
      </c>
      <c r="B47" s="62"/>
      <c r="C47" s="62"/>
      <c r="D47" s="60">
        <v>0</v>
      </c>
      <c r="E47" s="60">
        <v>1</v>
      </c>
      <c r="F47" s="60">
        <v>2</v>
      </c>
      <c r="G47" s="60">
        <v>3</v>
      </c>
      <c r="H47" s="60">
        <v>4</v>
      </c>
      <c r="I47" s="60">
        <v>5</v>
      </c>
    </row>
    <row r="48" spans="1:9" x14ac:dyDescent="0.25">
      <c r="A48" s="48" t="s">
        <v>30</v>
      </c>
      <c r="B48" s="62"/>
      <c r="C48" s="62"/>
      <c r="D48" s="63"/>
      <c r="E48" s="14">
        <f>C37</f>
        <v>45000</v>
      </c>
      <c r="F48" s="14">
        <f>D37</f>
        <v>108557.99999999991</v>
      </c>
      <c r="G48" s="14">
        <f>E37</f>
        <v>117267.94799999993</v>
      </c>
      <c r="H48" s="14">
        <f>F37</f>
        <v>49255.640999999785</v>
      </c>
      <c r="I48" s="14">
        <f>G37</f>
        <v>-5243.284296000078</v>
      </c>
    </row>
    <row r="49" spans="1:9" x14ac:dyDescent="0.25">
      <c r="A49" s="48" t="s">
        <v>31</v>
      </c>
      <c r="B49" s="62"/>
      <c r="C49" s="62"/>
      <c r="D49" s="63"/>
      <c r="E49" s="15">
        <f>C34</f>
        <v>42500</v>
      </c>
      <c r="F49" s="15">
        <f>D34</f>
        <v>31875</v>
      </c>
      <c r="G49" s="15">
        <f>E34</f>
        <v>23906.25</v>
      </c>
      <c r="H49" s="15">
        <f>F34</f>
        <v>17929.6875</v>
      </c>
      <c r="I49" s="15">
        <f>G34</f>
        <v>13789.0625</v>
      </c>
    </row>
    <row r="50" spans="1:9" ht="15.75" thickBot="1" x14ac:dyDescent="0.3">
      <c r="A50" s="48" t="s">
        <v>32</v>
      </c>
      <c r="B50" s="62"/>
      <c r="C50" s="62"/>
      <c r="D50" s="63"/>
      <c r="E50" s="14">
        <f>SUM(E48:E49)</f>
        <v>87500</v>
      </c>
      <c r="F50" s="14">
        <f t="shared" ref="F50:I50" si="6">SUM(F48:F49)</f>
        <v>140432.99999999991</v>
      </c>
      <c r="G50" s="14">
        <f t="shared" si="6"/>
        <v>141174.19799999992</v>
      </c>
      <c r="H50" s="14">
        <f t="shared" si="6"/>
        <v>67185.328499999785</v>
      </c>
      <c r="I50" s="14">
        <f t="shared" si="6"/>
        <v>8545.778203999922</v>
      </c>
    </row>
    <row r="51" spans="1:9" ht="15.75" thickBot="1" x14ac:dyDescent="0.3">
      <c r="A51" s="48"/>
      <c r="B51" s="62"/>
      <c r="C51" s="62"/>
      <c r="D51" s="105" t="s">
        <v>2</v>
      </c>
      <c r="E51" s="103"/>
      <c r="F51" s="103"/>
      <c r="G51" s="103"/>
      <c r="H51" s="103"/>
      <c r="I51" s="104"/>
    </row>
    <row r="52" spans="1:9" ht="15.75" thickBot="1" x14ac:dyDescent="0.3">
      <c r="A52" s="48" t="s">
        <v>33</v>
      </c>
      <c r="B52" s="62"/>
      <c r="C52" s="62"/>
      <c r="D52" s="60">
        <v>0</v>
      </c>
      <c r="E52" s="60">
        <v>1</v>
      </c>
      <c r="F52" s="60">
        <v>2</v>
      </c>
      <c r="G52" s="60">
        <v>3</v>
      </c>
      <c r="H52" s="60">
        <v>4</v>
      </c>
      <c r="I52" s="60">
        <v>5</v>
      </c>
    </row>
    <row r="53" spans="1:9" x14ac:dyDescent="0.25">
      <c r="A53" s="48" t="s">
        <v>34</v>
      </c>
      <c r="B53" s="62"/>
      <c r="C53" s="62"/>
      <c r="D53" s="14">
        <f>-C4</f>
        <v>-170000</v>
      </c>
      <c r="E53" s="63"/>
      <c r="F53" s="63"/>
      <c r="G53" s="63"/>
      <c r="H53" s="63"/>
      <c r="I53" s="14">
        <f>F1</f>
        <v>30000</v>
      </c>
    </row>
    <row r="54" spans="1:9" x14ac:dyDescent="0.25">
      <c r="A54" s="48" t="s">
        <v>35</v>
      </c>
      <c r="B54" s="62"/>
      <c r="C54" s="62"/>
      <c r="D54" s="14">
        <f t="shared" ref="D54:I54" si="7">D44</f>
        <v>-58500</v>
      </c>
      <c r="E54" s="14">
        <f t="shared" si="7"/>
        <v>-70785</v>
      </c>
      <c r="F54" s="14">
        <f t="shared" si="7"/>
        <v>-57362.760000000009</v>
      </c>
      <c r="G54" s="14">
        <f t="shared" si="7"/>
        <v>31446.089999999997</v>
      </c>
      <c r="H54" s="14">
        <f t="shared" si="7"/>
        <v>70771.961519999997</v>
      </c>
      <c r="I54" s="14">
        <f t="shared" si="7"/>
        <v>84429.708480000016</v>
      </c>
    </row>
    <row r="55" spans="1:9" x14ac:dyDescent="0.25">
      <c r="A55" s="48" t="s">
        <v>36</v>
      </c>
      <c r="B55" s="62"/>
      <c r="C55" s="62"/>
      <c r="D55" s="14">
        <f>SUM(D53:D54)</f>
        <v>-228500</v>
      </c>
      <c r="E55" s="14">
        <f>E50+E54</f>
        <v>16715</v>
      </c>
      <c r="F55" s="14">
        <f>F50+F54</f>
        <v>83070.239999999903</v>
      </c>
      <c r="G55" s="14">
        <f t="shared" ref="G55:I55" si="8">G50+G54</f>
        <v>172620.28799999991</v>
      </c>
      <c r="H55" s="14">
        <f t="shared" si="8"/>
        <v>137957.29001999978</v>
      </c>
      <c r="I55" s="14">
        <f t="shared" si="8"/>
        <v>92975.486683999945</v>
      </c>
    </row>
    <row r="56" spans="1:9" x14ac:dyDescent="0.25">
      <c r="A56" s="48" t="s">
        <v>37</v>
      </c>
      <c r="B56" s="62"/>
      <c r="C56" s="62"/>
      <c r="D56" s="14">
        <f>D55/(1+$C$61)^D52</f>
        <v>-228500</v>
      </c>
      <c r="E56" s="14">
        <f t="shared" ref="E56:I56" si="9">E55/(1+$C$61)^E52</f>
        <v>15195.454545454544</v>
      </c>
      <c r="F56" s="14">
        <f t="shared" si="9"/>
        <v>68653.090909090824</v>
      </c>
      <c r="G56" s="14">
        <f t="shared" si="9"/>
        <v>129692.17731029291</v>
      </c>
      <c r="H56" s="14">
        <f t="shared" si="9"/>
        <v>94226.685349361214</v>
      </c>
      <c r="I56" s="14">
        <f t="shared" si="9"/>
        <v>57730.462203898089</v>
      </c>
    </row>
    <row r="57" spans="1:9" ht="15.75" thickBot="1" x14ac:dyDescent="0.3">
      <c r="A57" s="53" t="s">
        <v>38</v>
      </c>
      <c r="B57" s="64"/>
      <c r="C57" s="64"/>
      <c r="D57" s="20">
        <f>D55</f>
        <v>-228500</v>
      </c>
      <c r="E57" s="20">
        <f>D57+E56</f>
        <v>-213304.54545454547</v>
      </c>
      <c r="F57" s="20">
        <f>E57+F56</f>
        <v>-144651.45454545465</v>
      </c>
      <c r="G57" s="20">
        <f>F57+G56</f>
        <v>-14959.277235161731</v>
      </c>
      <c r="H57" s="20">
        <f>G57+H56</f>
        <v>79267.408114199483</v>
      </c>
      <c r="I57" s="20">
        <f>H57+I56</f>
        <v>136997.87031809759</v>
      </c>
    </row>
    <row r="59" spans="1:9" ht="15.75" thickBot="1" x14ac:dyDescent="0.3">
      <c r="A59" s="21" t="s">
        <v>39</v>
      </c>
      <c r="B59" s="21"/>
      <c r="C59" s="21"/>
      <c r="D59" s="21"/>
      <c r="E59" s="58"/>
      <c r="F59" s="106" t="s">
        <v>40</v>
      </c>
      <c r="G59" s="106"/>
      <c r="H59" s="106"/>
      <c r="I59" s="106"/>
    </row>
    <row r="60" spans="1:9" ht="45.75" thickBot="1" x14ac:dyDescent="0.3">
      <c r="E60" s="4"/>
      <c r="F60" s="65" t="s">
        <v>2</v>
      </c>
      <c r="G60" s="65" t="s">
        <v>41</v>
      </c>
      <c r="H60" s="66" t="s">
        <v>42</v>
      </c>
      <c r="I60" s="65" t="s">
        <v>43</v>
      </c>
    </row>
    <row r="61" spans="1:9" x14ac:dyDescent="0.25">
      <c r="A61" s="67" t="s">
        <v>44</v>
      </c>
      <c r="B61" s="67"/>
      <c r="C61" s="68">
        <v>0.1</v>
      </c>
      <c r="E61" s="4"/>
      <c r="F61" s="69">
        <v>0</v>
      </c>
      <c r="G61" s="70">
        <f>D55</f>
        <v>-228500</v>
      </c>
      <c r="H61" s="71">
        <f>G61/(1+$C$61)^F61</f>
        <v>-228500</v>
      </c>
      <c r="I61" s="72">
        <f>H61</f>
        <v>-228500</v>
      </c>
    </row>
    <row r="62" spans="1:9" x14ac:dyDescent="0.25">
      <c r="A62" s="67" t="s">
        <v>45</v>
      </c>
      <c r="B62" s="67"/>
      <c r="C62" s="67"/>
      <c r="D62" s="68">
        <v>0.1</v>
      </c>
      <c r="E62" s="4"/>
      <c r="F62" s="69">
        <v>1</v>
      </c>
      <c r="G62" s="70">
        <f>E55</f>
        <v>16715</v>
      </c>
      <c r="H62" s="30">
        <f t="shared" ref="H62:H66" si="10">G62/(1+$C$61)^F62</f>
        <v>15195.454545454544</v>
      </c>
      <c r="I62" s="73">
        <f>I61+H62</f>
        <v>-213304.54545454547</v>
      </c>
    </row>
    <row r="63" spans="1:9" x14ac:dyDescent="0.25">
      <c r="E63" s="4"/>
      <c r="F63" s="69">
        <v>2</v>
      </c>
      <c r="G63" s="70">
        <f>F55</f>
        <v>83070.239999999903</v>
      </c>
      <c r="H63" s="30">
        <f t="shared" si="10"/>
        <v>68653.090909090824</v>
      </c>
      <c r="I63" s="73">
        <f t="shared" ref="I63:I66" si="11">I62+H63</f>
        <v>-144651.45454545465</v>
      </c>
    </row>
    <row r="64" spans="1:9" x14ac:dyDescent="0.25">
      <c r="A64" s="67" t="s">
        <v>46</v>
      </c>
      <c r="B64" s="67"/>
      <c r="C64" s="67"/>
      <c r="D64" s="74">
        <f>NPV(C61,E55:I55)+D55</f>
        <v>136997.87031809753</v>
      </c>
      <c r="E64" s="4"/>
      <c r="F64" s="69">
        <v>3</v>
      </c>
      <c r="G64" s="70">
        <f>G55</f>
        <v>172620.28799999991</v>
      </c>
      <c r="H64" s="30">
        <f t="shared" si="10"/>
        <v>129692.17731029291</v>
      </c>
      <c r="I64" s="73">
        <f t="shared" si="11"/>
        <v>-14959.277235161731</v>
      </c>
    </row>
    <row r="65" spans="1:9" x14ac:dyDescent="0.25">
      <c r="A65" s="67" t="s">
        <v>47</v>
      </c>
      <c r="D65" s="75">
        <f>IRR(D55:I55)</f>
        <v>0.27284565105097136</v>
      </c>
      <c r="E65" s="4"/>
      <c r="F65" s="69">
        <v>4</v>
      </c>
      <c r="G65" s="70">
        <f>H55</f>
        <v>137957.29001999978</v>
      </c>
      <c r="H65" s="30">
        <f t="shared" si="10"/>
        <v>94226.685349361214</v>
      </c>
      <c r="I65" s="73">
        <f t="shared" si="11"/>
        <v>79267.408114199483</v>
      </c>
    </row>
    <row r="66" spans="1:9" ht="15.75" thickBot="1" x14ac:dyDescent="0.3">
      <c r="A66" s="67" t="s">
        <v>48</v>
      </c>
      <c r="B66" s="67"/>
      <c r="D66" s="76">
        <f>3+(-I64/H65)</f>
        <v>3.1587583939697943</v>
      </c>
      <c r="E66" t="s">
        <v>2</v>
      </c>
      <c r="F66" s="77">
        <v>5</v>
      </c>
      <c r="G66" s="78">
        <f>I55</f>
        <v>92975.486683999945</v>
      </c>
      <c r="H66" s="79">
        <f t="shared" si="10"/>
        <v>57730.462203898089</v>
      </c>
      <c r="I66" s="80">
        <f t="shared" si="11"/>
        <v>136997.87031809759</v>
      </c>
    </row>
    <row r="67" spans="1:9" ht="15.75" thickBot="1" x14ac:dyDescent="0.3"/>
    <row r="68" spans="1:9" ht="15" customHeight="1" x14ac:dyDescent="0.25">
      <c r="C68" s="90" t="s">
        <v>49</v>
      </c>
      <c r="D68" s="91"/>
      <c r="E68" s="91"/>
      <c r="F68" s="91"/>
      <c r="G68" s="92"/>
    </row>
    <row r="69" spans="1:9" x14ac:dyDescent="0.25">
      <c r="C69" s="93"/>
      <c r="D69" s="94"/>
      <c r="E69" s="94"/>
      <c r="F69" s="94"/>
      <c r="G69" s="95"/>
    </row>
    <row r="70" spans="1:9" x14ac:dyDescent="0.25">
      <c r="C70" s="93"/>
      <c r="D70" s="94"/>
      <c r="E70" s="94"/>
      <c r="F70" s="94"/>
      <c r="G70" s="95"/>
    </row>
    <row r="71" spans="1:9" x14ac:dyDescent="0.25">
      <c r="C71" s="93"/>
      <c r="D71" s="94"/>
      <c r="E71" s="94"/>
      <c r="F71" s="94"/>
      <c r="G71" s="95"/>
    </row>
    <row r="72" spans="1:9" x14ac:dyDescent="0.25">
      <c r="C72" s="93"/>
      <c r="D72" s="94"/>
      <c r="E72" s="94"/>
      <c r="F72" s="94"/>
      <c r="G72" s="95"/>
    </row>
    <row r="73" spans="1:9" x14ac:dyDescent="0.25">
      <c r="C73" s="93"/>
      <c r="D73" s="94"/>
      <c r="E73" s="94"/>
      <c r="F73" s="94"/>
      <c r="G73" s="95"/>
    </row>
    <row r="74" spans="1:9" x14ac:dyDescent="0.25">
      <c r="C74" s="93"/>
      <c r="D74" s="94"/>
      <c r="E74" s="94"/>
      <c r="F74" s="94"/>
      <c r="G74" s="95"/>
    </row>
    <row r="75" spans="1:9" ht="15.75" thickBot="1" x14ac:dyDescent="0.3">
      <c r="C75" s="96"/>
      <c r="D75" s="97"/>
      <c r="E75" s="97"/>
      <c r="F75" s="97"/>
      <c r="G75" s="98"/>
    </row>
  </sheetData>
  <mergeCells count="10">
    <mergeCell ref="G3:J8"/>
    <mergeCell ref="G12:J17"/>
    <mergeCell ref="I19:L20"/>
    <mergeCell ref="C68:G75"/>
    <mergeCell ref="G22:J24"/>
    <mergeCell ref="C30:G30"/>
    <mergeCell ref="D41:I41"/>
    <mergeCell ref="D46:I46"/>
    <mergeCell ref="D51:I51"/>
    <mergeCell ref="F59:I59"/>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6"/>
  <sheetViews>
    <sheetView workbookViewId="0">
      <selection activeCell="H13" sqref="H13"/>
    </sheetView>
  </sheetViews>
  <sheetFormatPr defaultRowHeight="15" x14ac:dyDescent="0.25"/>
  <cols>
    <col min="2" max="2" width="14.5703125" customWidth="1"/>
    <col min="3" max="3" width="13.140625" bestFit="1" customWidth="1"/>
    <col min="4" max="4" width="22.5703125" bestFit="1" customWidth="1"/>
    <col min="5" max="5" width="17.85546875" customWidth="1"/>
    <col min="6" max="6" width="16.28515625" customWidth="1"/>
    <col min="7" max="7" width="15.140625" customWidth="1"/>
    <col min="8" max="9" width="13.5703125" bestFit="1" customWidth="1"/>
  </cols>
  <sheetData>
    <row r="1" spans="1:7" x14ac:dyDescent="0.25">
      <c r="A1" s="7" t="s">
        <v>0</v>
      </c>
      <c r="B1" s="7"/>
      <c r="C1" s="7"/>
      <c r="D1" s="7"/>
      <c r="E1" s="6" t="s">
        <v>1</v>
      </c>
      <c r="F1" s="8">
        <v>50000</v>
      </c>
      <c r="G1" s="6"/>
    </row>
    <row r="2" spans="1:7" ht="15.75" thickBot="1" x14ac:dyDescent="0.3"/>
    <row r="3" spans="1:7" ht="15.75" thickBot="1" x14ac:dyDescent="0.3">
      <c r="B3" s="9" t="s">
        <v>2</v>
      </c>
      <c r="C3" s="10" t="s">
        <v>3</v>
      </c>
      <c r="D3" s="11" t="s">
        <v>4</v>
      </c>
      <c r="E3" s="12" t="s">
        <v>5</v>
      </c>
    </row>
    <row r="4" spans="1:7" x14ac:dyDescent="0.25">
      <c r="B4" s="13">
        <v>1</v>
      </c>
      <c r="C4" s="14">
        <v>325000</v>
      </c>
      <c r="D4" s="15">
        <f>C4*0.25</f>
        <v>81250</v>
      </c>
      <c r="E4" s="15">
        <f>C4-D4</f>
        <v>243750</v>
      </c>
    </row>
    <row r="5" spans="1:7" x14ac:dyDescent="0.25">
      <c r="B5" s="16">
        <v>2</v>
      </c>
      <c r="C5" s="17">
        <f>E4</f>
        <v>243750</v>
      </c>
      <c r="D5" s="17">
        <f>C5*0.25</f>
        <v>60937.5</v>
      </c>
      <c r="E5" s="17">
        <f>C5-D5</f>
        <v>182812.5</v>
      </c>
    </row>
    <row r="6" spans="1:7" x14ac:dyDescent="0.25">
      <c r="B6" s="13">
        <v>3</v>
      </c>
      <c r="C6" s="15">
        <f>E5</f>
        <v>182812.5</v>
      </c>
      <c r="D6" s="15">
        <f>C6*0.25</f>
        <v>45703.125</v>
      </c>
      <c r="E6" s="15">
        <f>C6-D6</f>
        <v>137109.375</v>
      </c>
    </row>
    <row r="7" spans="1:7" x14ac:dyDescent="0.25">
      <c r="B7" s="16">
        <v>4</v>
      </c>
      <c r="C7" s="17">
        <f>E6</f>
        <v>137109.375</v>
      </c>
      <c r="D7" s="17">
        <f>C7*0.25</f>
        <v>34277.34375</v>
      </c>
      <c r="E7" s="17">
        <f>C7-D7</f>
        <v>102832.03125</v>
      </c>
    </row>
    <row r="8" spans="1:7" ht="15.75" thickBot="1" x14ac:dyDescent="0.3">
      <c r="B8" s="18">
        <v>5</v>
      </c>
      <c r="C8" s="19">
        <f>E7</f>
        <v>102832.03125</v>
      </c>
      <c r="D8" s="19">
        <f>C8-E8</f>
        <v>52832.03125</v>
      </c>
      <c r="E8" s="20">
        <v>50000</v>
      </c>
    </row>
    <row r="10" spans="1:7" x14ac:dyDescent="0.25">
      <c r="A10" s="21" t="s">
        <v>7</v>
      </c>
      <c r="B10" s="21"/>
      <c r="C10" s="21"/>
      <c r="D10" s="21"/>
      <c r="E10" s="22" t="s">
        <v>8</v>
      </c>
      <c r="F10" s="22"/>
      <c r="G10" s="23">
        <v>0.02</v>
      </c>
    </row>
    <row r="11" spans="1:7" ht="15.75" thickBot="1" x14ac:dyDescent="0.3"/>
    <row r="12" spans="1:7" ht="15.75" thickBot="1" x14ac:dyDescent="0.3">
      <c r="B12" s="9" t="s">
        <v>2</v>
      </c>
      <c r="C12" s="12" t="s">
        <v>9</v>
      </c>
      <c r="D12" s="24" t="s">
        <v>10</v>
      </c>
      <c r="E12" s="25" t="s">
        <v>11</v>
      </c>
    </row>
    <row r="13" spans="1:7" x14ac:dyDescent="0.25">
      <c r="B13" s="13">
        <v>1</v>
      </c>
      <c r="C13" s="26">
        <v>3500</v>
      </c>
      <c r="D13" s="14">
        <v>135</v>
      </c>
      <c r="E13" s="14">
        <f>C13*D13</f>
        <v>472500</v>
      </c>
    </row>
    <row r="14" spans="1:7" x14ac:dyDescent="0.25">
      <c r="B14" s="28">
        <v>2</v>
      </c>
      <c r="C14" s="29">
        <v>7000</v>
      </c>
      <c r="D14" s="30">
        <f>D13*(1+G10)</f>
        <v>137.69999999999999</v>
      </c>
      <c r="E14" s="30">
        <f>C14*D14</f>
        <v>963899.99999999988</v>
      </c>
    </row>
    <row r="15" spans="1:7" x14ac:dyDescent="0.25">
      <c r="B15" s="13">
        <v>3</v>
      </c>
      <c r="C15" s="26">
        <v>9500</v>
      </c>
      <c r="D15" s="14">
        <f t="shared" ref="D15:D17" si="0">D14*1.025</f>
        <v>141.14249999999998</v>
      </c>
      <c r="E15" s="14">
        <f>C15*D15</f>
        <v>1340853.7499999998</v>
      </c>
    </row>
    <row r="16" spans="1:7" x14ac:dyDescent="0.25">
      <c r="B16" s="28">
        <v>4</v>
      </c>
      <c r="C16" s="29">
        <v>8000</v>
      </c>
      <c r="D16" s="30">
        <f t="shared" si="0"/>
        <v>144.67106249999998</v>
      </c>
      <c r="E16" s="30">
        <f>C16*D16</f>
        <v>1157368.4999999998</v>
      </c>
    </row>
    <row r="17" spans="1:9" ht="15.75" thickBot="1" x14ac:dyDescent="0.3">
      <c r="B17" s="18">
        <v>5</v>
      </c>
      <c r="C17" s="31">
        <v>4200</v>
      </c>
      <c r="D17" s="20">
        <f t="shared" si="0"/>
        <v>148.28783906249996</v>
      </c>
      <c r="E17" s="20">
        <f>C17*D17</f>
        <v>622808.92406249978</v>
      </c>
    </row>
    <row r="19" spans="1:9" x14ac:dyDescent="0.25">
      <c r="A19" s="21" t="s">
        <v>13</v>
      </c>
      <c r="B19" s="21"/>
      <c r="C19" s="21"/>
      <c r="D19" s="21"/>
      <c r="E19" s="22" t="s">
        <v>14</v>
      </c>
      <c r="F19" s="22"/>
      <c r="G19" s="32">
        <v>0.1</v>
      </c>
    </row>
    <row r="20" spans="1:9" ht="15.75" thickBot="1" x14ac:dyDescent="0.3"/>
    <row r="21" spans="1:9" ht="15.75" thickBot="1" x14ac:dyDescent="0.3">
      <c r="B21" s="9" t="s">
        <v>2</v>
      </c>
      <c r="C21" s="12" t="s">
        <v>9</v>
      </c>
      <c r="D21" s="33" t="s">
        <v>16</v>
      </c>
      <c r="E21" s="34" t="s">
        <v>13</v>
      </c>
    </row>
    <row r="22" spans="1:9" x14ac:dyDescent="0.25">
      <c r="B22" s="13">
        <v>1</v>
      </c>
      <c r="C22" s="13">
        <f>C13</f>
        <v>3500</v>
      </c>
      <c r="D22" s="14">
        <v>87</v>
      </c>
      <c r="E22" s="35">
        <f>C22*D22</f>
        <v>304500</v>
      </c>
      <c r="G22" s="90" t="s">
        <v>50</v>
      </c>
      <c r="H22" s="91"/>
      <c r="I22" s="92"/>
    </row>
    <row r="23" spans="1:9" x14ac:dyDescent="0.25">
      <c r="B23" s="28">
        <v>2</v>
      </c>
      <c r="C23" s="28">
        <f>C14</f>
        <v>7000</v>
      </c>
      <c r="D23" s="30">
        <f>D22*(1+$G$19)</f>
        <v>95.7</v>
      </c>
      <c r="E23" s="36">
        <f>C23*D23</f>
        <v>669900</v>
      </c>
      <c r="G23" s="93"/>
      <c r="H23" s="94"/>
      <c r="I23" s="95"/>
    </row>
    <row r="24" spans="1:9" x14ac:dyDescent="0.25">
      <c r="B24" s="13">
        <v>3</v>
      </c>
      <c r="C24" s="13">
        <f>C15</f>
        <v>9500</v>
      </c>
      <c r="D24" s="14">
        <f t="shared" ref="D24:D26" si="1">D23*(1+$G$19)</f>
        <v>105.27000000000001</v>
      </c>
      <c r="E24" s="35">
        <f>C24*D24</f>
        <v>1000065.0000000001</v>
      </c>
      <c r="G24" s="93"/>
      <c r="H24" s="94"/>
      <c r="I24" s="95"/>
    </row>
    <row r="25" spans="1:9" ht="15.75" thickBot="1" x14ac:dyDescent="0.3">
      <c r="B25" s="28">
        <v>4</v>
      </c>
      <c r="C25" s="28">
        <f>C16</f>
        <v>8000</v>
      </c>
      <c r="D25" s="30">
        <f t="shared" si="1"/>
        <v>115.79700000000003</v>
      </c>
      <c r="E25" s="36">
        <f>C25*D25</f>
        <v>926376.00000000023</v>
      </c>
      <c r="G25" s="96"/>
      <c r="H25" s="97"/>
      <c r="I25" s="98"/>
    </row>
    <row r="26" spans="1:9" ht="15.75" thickBot="1" x14ac:dyDescent="0.3">
      <c r="B26" s="18">
        <v>5</v>
      </c>
      <c r="C26" s="18">
        <v>4000</v>
      </c>
      <c r="D26" s="20">
        <f t="shared" si="1"/>
        <v>127.37670000000004</v>
      </c>
      <c r="E26" s="37">
        <f>C26*D26</f>
        <v>509506.80000000016</v>
      </c>
    </row>
    <row r="28" spans="1:9" x14ac:dyDescent="0.25">
      <c r="A28" s="21" t="s">
        <v>18</v>
      </c>
      <c r="B28" s="21" t="s">
        <v>19</v>
      </c>
      <c r="C28" s="21"/>
      <c r="D28" s="21"/>
      <c r="E28" s="81" t="s">
        <v>20</v>
      </c>
      <c r="F28" s="82">
        <v>0.28000000000000003</v>
      </c>
      <c r="G28" s="83" t="s">
        <v>21</v>
      </c>
    </row>
    <row r="29" spans="1:9" ht="15.75" thickBot="1" x14ac:dyDescent="0.3">
      <c r="F29" s="41"/>
      <c r="G29" s="42"/>
    </row>
    <row r="30" spans="1:9" ht="15.75" thickBot="1" x14ac:dyDescent="0.3">
      <c r="C30" s="99" t="s">
        <v>2</v>
      </c>
      <c r="D30" s="100"/>
      <c r="E30" s="100"/>
      <c r="F30" s="100"/>
      <c r="G30" s="101"/>
    </row>
    <row r="31" spans="1:9" ht="15.75" thickBot="1" x14ac:dyDescent="0.3">
      <c r="C31" s="43">
        <v>1</v>
      </c>
      <c r="D31" s="44">
        <v>2</v>
      </c>
      <c r="E31" s="44">
        <v>3</v>
      </c>
      <c r="F31" s="44">
        <v>4</v>
      </c>
      <c r="G31" s="44">
        <v>5</v>
      </c>
    </row>
    <row r="32" spans="1:9" x14ac:dyDescent="0.25">
      <c r="A32" s="45" t="s">
        <v>7</v>
      </c>
      <c r="B32" s="46"/>
      <c r="C32" s="47">
        <f>E13</f>
        <v>472500</v>
      </c>
      <c r="D32" s="14">
        <f>E14</f>
        <v>963899.99999999988</v>
      </c>
      <c r="E32" s="14">
        <f>E15</f>
        <v>1340853.7499999998</v>
      </c>
      <c r="F32" s="14">
        <f>E16</f>
        <v>1157368.4999999998</v>
      </c>
      <c r="G32" s="14">
        <f>E17</f>
        <v>622808.92406249978</v>
      </c>
    </row>
    <row r="33" spans="1:12" x14ac:dyDescent="0.25">
      <c r="A33" s="48" t="s">
        <v>13</v>
      </c>
      <c r="B33" s="49"/>
      <c r="C33" s="50">
        <f>E22</f>
        <v>304500</v>
      </c>
      <c r="D33" s="51">
        <f>E23</f>
        <v>669900</v>
      </c>
      <c r="E33" s="51">
        <f>E24</f>
        <v>1000065.0000000001</v>
      </c>
      <c r="F33" s="51">
        <f>E25</f>
        <v>926376.00000000023</v>
      </c>
      <c r="G33" s="51">
        <f>E26</f>
        <v>509506.80000000016</v>
      </c>
    </row>
    <row r="34" spans="1:12" x14ac:dyDescent="0.25">
      <c r="A34" s="48" t="s">
        <v>4</v>
      </c>
      <c r="B34" s="49"/>
      <c r="C34" s="52">
        <f>D4</f>
        <v>81250</v>
      </c>
      <c r="D34" s="15">
        <f>D5</f>
        <v>60937.5</v>
      </c>
      <c r="E34" s="15">
        <f>D6</f>
        <v>45703.125</v>
      </c>
      <c r="F34" s="15">
        <f>D7</f>
        <v>34277.34375</v>
      </c>
      <c r="G34" s="15">
        <f>D8</f>
        <v>52832.03125</v>
      </c>
    </row>
    <row r="35" spans="1:12" x14ac:dyDescent="0.25">
      <c r="A35" s="48" t="s">
        <v>22</v>
      </c>
      <c r="B35" s="49"/>
      <c r="C35" s="50">
        <f>C32-C33-C34</f>
        <v>86750</v>
      </c>
      <c r="D35" s="51">
        <f t="shared" ref="D35:G35" si="2">D32-D33-D34</f>
        <v>233062.49999999988</v>
      </c>
      <c r="E35" s="51">
        <f t="shared" si="2"/>
        <v>295085.62499999965</v>
      </c>
      <c r="F35" s="51">
        <f t="shared" si="2"/>
        <v>196715.15624999953</v>
      </c>
      <c r="G35" s="51">
        <f t="shared" si="2"/>
        <v>60470.092812499614</v>
      </c>
    </row>
    <row r="36" spans="1:12" ht="15.75" thickBot="1" x14ac:dyDescent="0.3">
      <c r="A36" s="48" t="s">
        <v>23</v>
      </c>
      <c r="B36" s="49"/>
      <c r="C36" s="47">
        <f>C35*0.28</f>
        <v>24290.000000000004</v>
      </c>
      <c r="D36" s="14">
        <f t="shared" ref="D36:G36" si="3">D35*0.28</f>
        <v>65257.499999999971</v>
      </c>
      <c r="E36" s="14">
        <f t="shared" si="3"/>
        <v>82623.974999999904</v>
      </c>
      <c r="F36" s="14">
        <f t="shared" si="3"/>
        <v>55080.243749999878</v>
      </c>
      <c r="G36" s="14">
        <f t="shared" si="3"/>
        <v>16931.625987499894</v>
      </c>
    </row>
    <row r="37" spans="1:12" ht="15.75" thickBot="1" x14ac:dyDescent="0.3">
      <c r="A37" s="53" t="s">
        <v>24</v>
      </c>
      <c r="B37" s="54"/>
      <c r="C37" s="55">
        <f>C35-C36</f>
        <v>62460</v>
      </c>
      <c r="D37" s="56">
        <f t="shared" ref="D37:G37" si="4">D35-D36</f>
        <v>167804.99999999991</v>
      </c>
      <c r="E37" s="56">
        <f t="shared" si="4"/>
        <v>212461.64999999973</v>
      </c>
      <c r="F37" s="56">
        <f t="shared" si="4"/>
        <v>141634.91249999966</v>
      </c>
      <c r="G37" s="56">
        <f t="shared" si="4"/>
        <v>43538.466824999719</v>
      </c>
      <c r="I37" s="90" t="s">
        <v>51</v>
      </c>
      <c r="J37" s="107"/>
      <c r="K37" s="107"/>
      <c r="L37" s="108"/>
    </row>
    <row r="38" spans="1:12" x14ac:dyDescent="0.25">
      <c r="C38" s="4"/>
      <c r="D38" s="4"/>
      <c r="E38" s="4"/>
      <c r="F38" s="4"/>
      <c r="G38" s="4"/>
      <c r="I38" s="109"/>
      <c r="J38" s="110"/>
      <c r="K38" s="110"/>
      <c r="L38" s="111"/>
    </row>
    <row r="39" spans="1:12" ht="15.75" thickBot="1" x14ac:dyDescent="0.3">
      <c r="A39" s="21" t="s">
        <v>25</v>
      </c>
      <c r="B39" s="21"/>
      <c r="C39" s="57"/>
      <c r="D39" s="57"/>
      <c r="E39" s="58" t="s">
        <v>52</v>
      </c>
      <c r="F39" s="58"/>
      <c r="G39" s="58"/>
      <c r="I39" s="112"/>
      <c r="J39" s="113"/>
      <c r="K39" s="113"/>
      <c r="L39" s="114"/>
    </row>
    <row r="40" spans="1:12" ht="15.75" thickBot="1" x14ac:dyDescent="0.3">
      <c r="C40" s="4"/>
      <c r="D40" s="59"/>
      <c r="E40" s="4"/>
      <c r="F40" s="4"/>
      <c r="G40" s="4"/>
    </row>
    <row r="41" spans="1:12" ht="15.75" thickBot="1" x14ac:dyDescent="0.3">
      <c r="D41" s="102" t="s">
        <v>2</v>
      </c>
      <c r="E41" s="103"/>
      <c r="F41" s="103"/>
      <c r="G41" s="103"/>
      <c r="H41" s="103"/>
      <c r="I41" s="104"/>
    </row>
    <row r="42" spans="1:12" ht="15.75" thickBot="1" x14ac:dyDescent="0.3">
      <c r="D42" s="60">
        <v>0</v>
      </c>
      <c r="E42" s="60">
        <v>1</v>
      </c>
      <c r="F42" s="60">
        <v>2</v>
      </c>
      <c r="G42" s="60">
        <v>3</v>
      </c>
      <c r="H42" s="60">
        <v>4</v>
      </c>
      <c r="I42" s="60">
        <v>5</v>
      </c>
    </row>
    <row r="43" spans="1:12" x14ac:dyDescent="0.25">
      <c r="A43" s="45" t="s">
        <v>27</v>
      </c>
      <c r="B43" s="61"/>
      <c r="C43" s="61"/>
      <c r="D43" s="14">
        <f>C32*0.2</f>
        <v>94500</v>
      </c>
      <c r="E43" s="14">
        <f t="shared" ref="E43:I43" si="5">D32*0.2</f>
        <v>192780</v>
      </c>
      <c r="F43" s="14">
        <f t="shared" si="5"/>
        <v>268170.74999999994</v>
      </c>
      <c r="G43" s="14">
        <f t="shared" si="5"/>
        <v>231473.69999999995</v>
      </c>
      <c r="H43" s="14">
        <f t="shared" si="5"/>
        <v>124561.78481249996</v>
      </c>
      <c r="I43" s="14">
        <f t="shared" si="5"/>
        <v>0</v>
      </c>
    </row>
    <row r="44" spans="1:12" x14ac:dyDescent="0.25">
      <c r="A44" s="48" t="s">
        <v>28</v>
      </c>
      <c r="B44" s="62"/>
      <c r="C44" s="62"/>
      <c r="D44" s="14">
        <f>-D43</f>
        <v>-94500</v>
      </c>
      <c r="E44" s="14">
        <f>--(D43-E43)</f>
        <v>-98280</v>
      </c>
      <c r="F44" s="14">
        <f>--(E43-F43)</f>
        <v>-75390.749999999942</v>
      </c>
      <c r="G44" s="14">
        <f>(F43-G43)</f>
        <v>36697.049999999988</v>
      </c>
      <c r="H44" s="14">
        <f>G43-H43</f>
        <v>106911.9151875</v>
      </c>
      <c r="I44" s="14">
        <f>H43-I43</f>
        <v>124561.78481249996</v>
      </c>
    </row>
    <row r="45" spans="1:12" ht="15.75" thickBot="1" x14ac:dyDescent="0.3">
      <c r="A45" s="48"/>
      <c r="B45" s="62"/>
      <c r="C45" s="62"/>
      <c r="D45" s="63"/>
      <c r="E45" s="63"/>
      <c r="F45" s="63"/>
      <c r="G45" s="63"/>
      <c r="H45" s="63"/>
      <c r="I45" s="63"/>
    </row>
    <row r="46" spans="1:12" ht="15.75" thickBot="1" x14ac:dyDescent="0.3">
      <c r="A46" s="48"/>
      <c r="B46" s="62"/>
      <c r="C46" s="62"/>
      <c r="D46" s="105" t="s">
        <v>2</v>
      </c>
      <c r="E46" s="103"/>
      <c r="F46" s="103"/>
      <c r="G46" s="103"/>
      <c r="H46" s="103"/>
      <c r="I46" s="104"/>
    </row>
    <row r="47" spans="1:12" ht="15.75" thickBot="1" x14ac:dyDescent="0.3">
      <c r="A47" s="48" t="s">
        <v>29</v>
      </c>
      <c r="B47" s="62"/>
      <c r="C47" s="62"/>
      <c r="D47" s="60">
        <v>0</v>
      </c>
      <c r="E47" s="60">
        <v>1</v>
      </c>
      <c r="F47" s="60">
        <v>2</v>
      </c>
      <c r="G47" s="60">
        <v>3</v>
      </c>
      <c r="H47" s="60">
        <v>4</v>
      </c>
      <c r="I47" s="60">
        <v>5</v>
      </c>
    </row>
    <row r="48" spans="1:12" x14ac:dyDescent="0.25">
      <c r="A48" s="48" t="s">
        <v>30</v>
      </c>
      <c r="B48" s="62"/>
      <c r="C48" s="62"/>
      <c r="D48" s="63"/>
      <c r="E48" s="14">
        <f>C37</f>
        <v>62460</v>
      </c>
      <c r="F48" s="14">
        <f>D37</f>
        <v>167804.99999999991</v>
      </c>
      <c r="G48" s="14">
        <f>E37</f>
        <v>212461.64999999973</v>
      </c>
      <c r="H48" s="14">
        <f>F37</f>
        <v>141634.91249999966</v>
      </c>
      <c r="I48" s="14">
        <f>G37</f>
        <v>43538.466824999719</v>
      </c>
    </row>
    <row r="49" spans="1:9" x14ac:dyDescent="0.25">
      <c r="A49" s="48" t="s">
        <v>31</v>
      </c>
      <c r="B49" s="62"/>
      <c r="C49" s="62"/>
      <c r="D49" s="63"/>
      <c r="E49" s="15">
        <f>C34</f>
        <v>81250</v>
      </c>
      <c r="F49" s="15">
        <f>D34</f>
        <v>60937.5</v>
      </c>
      <c r="G49" s="15">
        <f>E34</f>
        <v>45703.125</v>
      </c>
      <c r="H49" s="15">
        <f>F34</f>
        <v>34277.34375</v>
      </c>
      <c r="I49" s="15">
        <f>G34</f>
        <v>52832.03125</v>
      </c>
    </row>
    <row r="50" spans="1:9" ht="15.75" thickBot="1" x14ac:dyDescent="0.3">
      <c r="A50" s="48" t="s">
        <v>32</v>
      </c>
      <c r="B50" s="62"/>
      <c r="C50" s="62"/>
      <c r="D50" s="63"/>
      <c r="E50" s="14">
        <f>SUM(E48:E49)</f>
        <v>143710</v>
      </c>
      <c r="F50" s="14">
        <f t="shared" ref="F50:I50" si="6">SUM(F48:F49)</f>
        <v>228742.49999999991</v>
      </c>
      <c r="G50" s="14">
        <f t="shared" si="6"/>
        <v>258164.77499999973</v>
      </c>
      <c r="H50" s="14">
        <f t="shared" si="6"/>
        <v>175912.25624999966</v>
      </c>
      <c r="I50" s="14">
        <f t="shared" si="6"/>
        <v>96370.498074999719</v>
      </c>
    </row>
    <row r="51" spans="1:9" ht="15.75" thickBot="1" x14ac:dyDescent="0.3">
      <c r="A51" s="48"/>
      <c r="B51" s="62"/>
      <c r="C51" s="62"/>
      <c r="D51" s="105" t="s">
        <v>2</v>
      </c>
      <c r="E51" s="103"/>
      <c r="F51" s="103"/>
      <c r="G51" s="103"/>
      <c r="H51" s="103"/>
      <c r="I51" s="104"/>
    </row>
    <row r="52" spans="1:9" ht="15.75" thickBot="1" x14ac:dyDescent="0.3">
      <c r="A52" s="48" t="s">
        <v>33</v>
      </c>
      <c r="B52" s="62"/>
      <c r="C52" s="62"/>
      <c r="D52" s="60">
        <v>0</v>
      </c>
      <c r="E52" s="60">
        <v>1</v>
      </c>
      <c r="F52" s="60">
        <v>2</v>
      </c>
      <c r="G52" s="60">
        <v>3</v>
      </c>
      <c r="H52" s="60">
        <v>4</v>
      </c>
      <c r="I52" s="60">
        <v>5</v>
      </c>
    </row>
    <row r="53" spans="1:9" x14ac:dyDescent="0.25">
      <c r="A53" s="48" t="s">
        <v>53</v>
      </c>
      <c r="B53" s="62"/>
      <c r="C53" s="62"/>
      <c r="D53" s="14">
        <f>-C4</f>
        <v>-325000</v>
      </c>
      <c r="E53" s="63"/>
      <c r="F53" s="63"/>
      <c r="G53" s="63"/>
      <c r="H53" s="63"/>
      <c r="I53" s="14">
        <f>F1</f>
        <v>50000</v>
      </c>
    </row>
    <row r="54" spans="1:9" x14ac:dyDescent="0.25">
      <c r="A54" s="48" t="s">
        <v>35</v>
      </c>
      <c r="B54" s="62"/>
      <c r="C54" s="62"/>
      <c r="D54" s="14">
        <f t="shared" ref="D54:I54" si="7">D44</f>
        <v>-94500</v>
      </c>
      <c r="E54" s="14">
        <f t="shared" si="7"/>
        <v>-98280</v>
      </c>
      <c r="F54" s="14">
        <f t="shared" si="7"/>
        <v>-75390.749999999942</v>
      </c>
      <c r="G54" s="14">
        <f t="shared" si="7"/>
        <v>36697.049999999988</v>
      </c>
      <c r="H54" s="14">
        <f t="shared" si="7"/>
        <v>106911.9151875</v>
      </c>
      <c r="I54" s="14">
        <f t="shared" si="7"/>
        <v>124561.78481249996</v>
      </c>
    </row>
    <row r="55" spans="1:9" x14ac:dyDescent="0.25">
      <c r="A55" s="48" t="s">
        <v>54</v>
      </c>
      <c r="B55" s="62"/>
      <c r="C55" s="62"/>
      <c r="D55" s="14">
        <f>SUM(D53:D54)</f>
        <v>-419500</v>
      </c>
      <c r="E55" s="14">
        <f>E50+E54</f>
        <v>45430</v>
      </c>
      <c r="F55" s="14">
        <f>F50+F54</f>
        <v>153351.74999999997</v>
      </c>
      <c r="G55" s="14">
        <f t="shared" ref="G55:I55" si="8">G50+G54</f>
        <v>294861.82499999972</v>
      </c>
      <c r="H55" s="14">
        <f t="shared" si="8"/>
        <v>282824.17143749964</v>
      </c>
      <c r="I55" s="14">
        <f t="shared" si="8"/>
        <v>220932.28288749966</v>
      </c>
    </row>
    <row r="56" spans="1:9" x14ac:dyDescent="0.25">
      <c r="A56" s="48" t="s">
        <v>37</v>
      </c>
      <c r="B56" s="62"/>
      <c r="C56" s="62"/>
      <c r="D56" s="14">
        <f>D55/(1+$C$61)^D52</f>
        <v>-419500</v>
      </c>
      <c r="E56" s="14">
        <f t="shared" ref="E56:I56" si="9">E55/(1+$C$61)^E52</f>
        <v>41300</v>
      </c>
      <c r="F56" s="14">
        <f t="shared" si="9"/>
        <v>126736.98347107433</v>
      </c>
      <c r="G56" s="14">
        <f t="shared" si="9"/>
        <v>221534.05334335059</v>
      </c>
      <c r="H56" s="14">
        <f t="shared" si="9"/>
        <v>193172.71459428972</v>
      </c>
      <c r="I56" s="14">
        <f t="shared" si="9"/>
        <v>137181.5653969858</v>
      </c>
    </row>
    <row r="57" spans="1:9" ht="15.75" thickBot="1" x14ac:dyDescent="0.3">
      <c r="A57" s="53" t="s">
        <v>38</v>
      </c>
      <c r="B57" s="64"/>
      <c r="C57" s="64"/>
      <c r="D57" s="20">
        <f>D55</f>
        <v>-419500</v>
      </c>
      <c r="E57" s="20">
        <f>D57+E56</f>
        <v>-378200</v>
      </c>
      <c r="F57" s="20">
        <f>E57+F56</f>
        <v>-251463.01652892568</v>
      </c>
      <c r="G57" s="20">
        <f>F57+G56</f>
        <v>-29928.963185575092</v>
      </c>
      <c r="H57" s="20">
        <f>G57+H56</f>
        <v>163243.75140871463</v>
      </c>
      <c r="I57" s="20">
        <f>H57+I56</f>
        <v>300425.31680570042</v>
      </c>
    </row>
    <row r="59" spans="1:9" ht="15.75" thickBot="1" x14ac:dyDescent="0.3">
      <c r="A59" s="21" t="s">
        <v>39</v>
      </c>
      <c r="B59" s="21"/>
      <c r="C59" s="21"/>
      <c r="D59" s="21"/>
      <c r="E59" s="58"/>
      <c r="F59" s="106" t="s">
        <v>55</v>
      </c>
      <c r="G59" s="106"/>
      <c r="H59" s="106"/>
      <c r="I59" s="106"/>
    </row>
    <row r="60" spans="1:9" ht="45.75" thickBot="1" x14ac:dyDescent="0.3">
      <c r="E60" s="4"/>
      <c r="F60" s="1" t="s">
        <v>2</v>
      </c>
      <c r="G60" s="65" t="s">
        <v>41</v>
      </c>
      <c r="H60" s="65" t="s">
        <v>42</v>
      </c>
      <c r="I60" s="65" t="s">
        <v>43</v>
      </c>
    </row>
    <row r="61" spans="1:9" x14ac:dyDescent="0.25">
      <c r="A61" s="67" t="s">
        <v>44</v>
      </c>
      <c r="B61" s="67"/>
      <c r="C61" s="68">
        <v>0.1</v>
      </c>
      <c r="E61" s="4"/>
      <c r="F61" s="5">
        <v>0</v>
      </c>
      <c r="G61" s="84">
        <f>D56</f>
        <v>-419500</v>
      </c>
      <c r="H61" s="85">
        <f>G61/(1+$C$61)^F61</f>
        <v>-419500</v>
      </c>
      <c r="I61" s="72">
        <f>H61</f>
        <v>-419500</v>
      </c>
    </row>
    <row r="62" spans="1:9" x14ac:dyDescent="0.25">
      <c r="A62" s="67" t="s">
        <v>45</v>
      </c>
      <c r="B62" s="67"/>
      <c r="C62" s="67"/>
      <c r="D62" s="68">
        <v>0.1</v>
      </c>
      <c r="E62" s="4"/>
      <c r="F62" s="2">
        <v>1</v>
      </c>
      <c r="G62" s="84">
        <f>E55</f>
        <v>45430</v>
      </c>
      <c r="H62" s="86">
        <f t="shared" ref="H62:H66" si="10">G62/(1+$C$61)^F62</f>
        <v>41300</v>
      </c>
      <c r="I62" s="73">
        <f>I61+H62</f>
        <v>-378200</v>
      </c>
    </row>
    <row r="63" spans="1:9" x14ac:dyDescent="0.25">
      <c r="E63" s="4"/>
      <c r="F63" s="2">
        <v>2</v>
      </c>
      <c r="G63" s="84">
        <f>F55</f>
        <v>153351.74999999997</v>
      </c>
      <c r="H63" s="86">
        <f t="shared" si="10"/>
        <v>126736.98347107433</v>
      </c>
      <c r="I63" s="73">
        <f t="shared" ref="I63:I66" si="11">I62+H63</f>
        <v>-251463.01652892568</v>
      </c>
    </row>
    <row r="64" spans="1:9" x14ac:dyDescent="0.25">
      <c r="A64" s="67" t="s">
        <v>46</v>
      </c>
      <c r="B64" s="67"/>
      <c r="C64" s="67"/>
      <c r="D64" s="74">
        <f>NPV(C61,E55:I55)+D55</f>
        <v>300425.31680570042</v>
      </c>
      <c r="E64" s="4"/>
      <c r="F64" s="2">
        <v>3</v>
      </c>
      <c r="G64" s="84">
        <f>G55</f>
        <v>294861.82499999972</v>
      </c>
      <c r="H64" s="86">
        <f t="shared" si="10"/>
        <v>221534.05334335059</v>
      </c>
      <c r="I64" s="73">
        <f t="shared" si="11"/>
        <v>-29928.963185575092</v>
      </c>
    </row>
    <row r="65" spans="1:9" x14ac:dyDescent="0.25">
      <c r="A65" s="67" t="s">
        <v>47</v>
      </c>
      <c r="D65" s="75">
        <f>IRR(D55:I55)</f>
        <v>0.29893839560986146</v>
      </c>
      <c r="E65" s="4"/>
      <c r="F65" s="2">
        <v>4</v>
      </c>
      <c r="G65" s="84">
        <f>H55</f>
        <v>282824.17143749964</v>
      </c>
      <c r="H65" s="86">
        <f t="shared" si="10"/>
        <v>193172.71459428972</v>
      </c>
      <c r="I65" s="73">
        <f t="shared" si="11"/>
        <v>163243.75140871463</v>
      </c>
    </row>
    <row r="66" spans="1:9" ht="15.75" thickBot="1" x14ac:dyDescent="0.3">
      <c r="A66" s="67" t="s">
        <v>48</v>
      </c>
      <c r="B66" s="67"/>
      <c r="D66" s="87">
        <f>3+(-I64/H65)</f>
        <v>3.1549336988323287</v>
      </c>
      <c r="E66" t="s">
        <v>2</v>
      </c>
      <c r="F66" s="3">
        <v>5</v>
      </c>
      <c r="G66" s="88">
        <f>I55</f>
        <v>220932.28288749966</v>
      </c>
      <c r="H66" s="89">
        <f t="shared" si="10"/>
        <v>137181.5653969858</v>
      </c>
      <c r="I66" s="80">
        <f t="shared" si="11"/>
        <v>300425.31680570042</v>
      </c>
    </row>
  </sheetData>
  <mergeCells count="7">
    <mergeCell ref="F59:I59"/>
    <mergeCell ref="G22:I25"/>
    <mergeCell ref="C30:G30"/>
    <mergeCell ref="I37:L39"/>
    <mergeCell ref="D41:I41"/>
    <mergeCell ref="D46:I46"/>
    <mergeCell ref="D51:I51"/>
  </mergeCells>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22cc65cd-8b39-449f-8a83-2aa396e4f3ef" xsi:nil="true"/>
    <_Flow_SignoffStatus xmlns="22cc65cd-8b39-449f-8a83-2aa396e4f3ef" xsi:nil="true"/>
    <RelatedIssues xmlns="http://schemas.microsoft.com/sharepoint/v3"/>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Document" ma:contentTypeID="0x01010011B78653DBA88F41B85CAB63B967E805" ma:contentTypeVersion="25" ma:contentTypeDescription="Create a new document." ma:contentTypeScope="" ma:versionID="1d4b6694502e639a1183f7b4984feefa">
  <xsd:schema xmlns:xsd="http://www.w3.org/2001/XMLSchema" xmlns:xs="http://www.w3.org/2001/XMLSchema" xmlns:p="http://schemas.microsoft.com/office/2006/metadata/properties" xmlns:ns1="http://schemas.microsoft.com/sharepoint/v3" xmlns:ns2="22cc65cd-8b39-449f-8a83-2aa396e4f3ef" xmlns:ns3="01535e40-0c2f-42a1-a9bf-7eb3ac38dc2b" targetNamespace="http://schemas.microsoft.com/office/2006/metadata/properties" ma:root="true" ma:fieldsID="6cce8cb137a753a57abcb3220c8b5591" ns1:_="" ns2:_="" ns3:_="">
    <xsd:import namespace="http://schemas.microsoft.com/sharepoint/v3"/>
    <xsd:import namespace="22cc65cd-8b39-449f-8a83-2aa396e4f3ef"/>
    <xsd:import namespace="01535e40-0c2f-42a1-a9bf-7eb3ac38dc2b"/>
    <xsd:element name="properties">
      <xsd:complexType>
        <xsd:sequence>
          <xsd:element name="documentManagement">
            <xsd:complexType>
              <xsd:all>
                <xsd:element ref="ns2:MediaServiceMetadata" minOccurs="0"/>
                <xsd:element ref="ns2:MediaServiceFastMetadata" minOccurs="0"/>
                <xsd:element ref="ns1:RelatedIssues"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2:_Flow_SignoffStatus" minOccurs="0"/>
                <xsd:element ref="ns2:MediaServiceAutoKeyPoints" minOccurs="0"/>
                <xsd:element ref="ns2:MediaServiceKeyPoints" minOccurs="0"/>
                <xsd:element ref="ns3:SharedWithUsers" minOccurs="0"/>
                <xsd:element ref="ns3:SharedWithDetail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latedIssues" ma:index="6" nillable="true" ma:displayName="Related Issues" ma:list="{22cc65cd-8b39-449f-8a83-2aa396e4f3ef}" ma:internalName="RelatedIssues" ma:readOnly="false" ma:showField="Titl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cc65cd-8b39-449f-8a83-2aa396e4f3ef"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DateTaken" ma:index="7" nillable="true" ma:displayName="MediaServiceDateTaken" ma:hidden="true" ma:internalName="MediaServiceDateTaken" ma:readOnly="true">
      <xsd:simpleType>
        <xsd:restriction base="dms:Text"/>
      </xsd:simpleType>
    </xsd:element>
    <xsd:element name="MediaServiceAutoTags" ma:index="8" nillable="true" ma:displayName="Tags" ma:internalName="MediaServiceAutoTags" ma:readOnly="true">
      <xsd:simpleType>
        <xsd:restriction base="dms:Text"/>
      </xsd:simpleType>
    </xsd:element>
    <xsd:element name="MediaServiceOCR" ma:index="9" nillable="true" ma:displayName="Extracted Text" ma:internalName="MediaServiceOCR" ma:readOnly="true">
      <xsd:simpleType>
        <xsd:restriction base="dms:Note">
          <xsd:maxLength value="255"/>
        </xsd:restriction>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_Flow_SignoffStatus" ma:index="12" nillable="true" ma:displayName="Sign-off status" ma:internalName="Sign_x002d_off_x0020_status" ma:readOnly="fals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Notes" ma:index="21"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535e40-0c2f-42a1-a9bf-7eb3ac38dc2b" elementFormDefault="qualified">
    <xsd:import namespace="http://schemas.microsoft.com/office/2006/documentManagement/types"/>
    <xsd:import namespace="http://schemas.microsoft.com/office/infopath/2007/PartnerControls"/>
    <xsd:element name="SharedWithUsers" ma:index="1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297D92-8A95-46EB-8B0F-217990DC7091}">
  <ds:schemaRefs>
    <ds:schemaRef ds:uri="http://schemas.microsoft.com/office/2006/metadata/properties"/>
    <ds:schemaRef ds:uri="01535e40-0c2f-42a1-a9bf-7eb3ac38dc2b"/>
    <ds:schemaRef ds:uri="http://purl.org/dc/terms/"/>
    <ds:schemaRef ds:uri="22cc65cd-8b39-449f-8a83-2aa396e4f3ef"/>
    <ds:schemaRef ds:uri="http://schemas.microsoft.com/office/2006/documentManagement/types"/>
    <ds:schemaRef ds:uri="http://www.w3.org/XML/1998/namespace"/>
    <ds:schemaRef ds:uri="http://purl.org/dc/dcmitype/"/>
    <ds:schemaRef ds:uri="http://purl.org/dc/elements/1.1/"/>
    <ds:schemaRef ds:uri="http://schemas.openxmlformats.org/package/2006/metadata/core-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94AABA45-D502-44D5-A22C-3177A1103EB8}">
  <ds:schemaRefs>
    <ds:schemaRef ds:uri="http://schemas.microsoft.com/sharepoint/v3/contenttype/forms"/>
  </ds:schemaRefs>
</ds:datastoreItem>
</file>

<file path=customXml/itemProps3.xml><?xml version="1.0" encoding="utf-8"?>
<ds:datastoreItem xmlns:ds="http://schemas.openxmlformats.org/officeDocument/2006/customXml" ds:itemID="{E635F1C0-FE01-4F34-9D8C-44FB92A520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2cc65cd-8b39-449f-8a83-2aa396e4f3ef"/>
    <ds:schemaRef ds:uri="01535e40-0c2f-42a1-a9bf-7eb3ac38dc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f03627e-adeb-48d8-ae7e-238ae8a0adc7}" enabled="0" method="" siteId="{7f03627e-adeb-48d8-ae7e-238ae8a0adc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Program #1</vt:lpstr>
      <vt:lpstr>Program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x</cp:lastModifiedBy>
  <cp:revision/>
  <dcterms:created xsi:type="dcterms:W3CDTF">2019-10-26T21:38:11Z</dcterms:created>
  <dcterms:modified xsi:type="dcterms:W3CDTF">2022-11-30T14:16:03Z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0x01010011B78653DBA88F41B85CAB63B967E805</vt:lpwstr>
  </property>
</Properties>
</file>