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09"/>
  <workbookPr/>
  <mc:AlternateContent xmlns:mc="http://schemas.openxmlformats.org/markup-compatibility/2006">
    <mc:Choice Requires="x15">
      <x15ac:absPath xmlns:x15ac="http://schemas.microsoft.com/office/spreadsheetml/2010/11/ac" url="/Users/Shaotong/Dropbox/Columbia/Fall 2019/Financial Risk Management/Week 12/"/>
    </mc:Choice>
  </mc:AlternateContent>
  <xr:revisionPtr revIDLastSave="0" documentId="8_{88E35514-FF4E-BA44-9E73-FF661EBC8DD7}" xr6:coauthVersionLast="43" xr6:coauthVersionMax="43" xr10:uidLastSave="{00000000-0000-0000-0000-000000000000}"/>
  <bookViews>
    <workbookView xWindow="24180" yWindow="1000" windowWidth="25640" windowHeight="21840" xr2:uid="{00000000-000D-0000-FFFF-FFFF00000000}"/>
  </bookViews>
  <sheets>
    <sheet name="VBFO new port" sheetId="23" r:id="rId1"/>
    <sheet name="VBFO new port stress SV" sheetId="2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1" i="25" l="1"/>
  <c r="F21" i="25" s="1"/>
  <c r="D20" i="25"/>
  <c r="F20" i="25" s="1"/>
  <c r="F19" i="25"/>
  <c r="D19" i="25"/>
  <c r="D18" i="25"/>
  <c r="F18" i="25" s="1"/>
  <c r="F15" i="25"/>
  <c r="F14" i="25"/>
  <c r="F12" i="25"/>
  <c r="F11" i="25"/>
  <c r="F10" i="25"/>
  <c r="F13" i="25"/>
  <c r="F9" i="25"/>
  <c r="F8" i="25"/>
  <c r="P44" i="25" l="1"/>
  <c r="J44" i="25"/>
  <c r="F41" i="25"/>
  <c r="O41" i="25" s="1"/>
  <c r="F40" i="25"/>
  <c r="O40" i="25" s="1"/>
  <c r="F39" i="25"/>
  <c r="N39" i="25" s="1"/>
  <c r="O36" i="25"/>
  <c r="D36" i="25"/>
  <c r="C36" i="25" s="1"/>
  <c r="O35" i="25"/>
  <c r="D35" i="25"/>
  <c r="C35" i="25"/>
  <c r="D34" i="25"/>
  <c r="F34" i="25" s="1"/>
  <c r="O34" i="25" s="1"/>
  <c r="D31" i="25"/>
  <c r="F31" i="25" s="1"/>
  <c r="U61" i="25" s="1"/>
  <c r="D30" i="25"/>
  <c r="F30" i="25" s="1"/>
  <c r="D29" i="25"/>
  <c r="F29" i="25" s="1"/>
  <c r="D28" i="25"/>
  <c r="F28" i="25" s="1"/>
  <c r="F25" i="25"/>
  <c r="F24" i="25"/>
  <c r="K21" i="25"/>
  <c r="M20" i="25"/>
  <c r="K18" i="25"/>
  <c r="L15" i="25"/>
  <c r="L14" i="25"/>
  <c r="L12" i="25"/>
  <c r="I11" i="25"/>
  <c r="K10" i="25"/>
  <c r="O13" i="25"/>
  <c r="K9" i="25"/>
  <c r="I8" i="25"/>
  <c r="I44" i="25" s="1"/>
  <c r="L44" i="25" l="1"/>
  <c r="K44" i="25"/>
  <c r="N44" i="25"/>
  <c r="M19" i="25"/>
  <c r="T44" i="25"/>
  <c r="U44" i="25"/>
  <c r="T61" i="25"/>
  <c r="F44" i="25"/>
  <c r="H44" i="25" s="1"/>
  <c r="O44" i="25"/>
  <c r="F41" i="23"/>
  <c r="O41" i="23" s="1"/>
  <c r="F40" i="23"/>
  <c r="O40" i="23" s="1"/>
  <c r="O36" i="23"/>
  <c r="C36" i="23"/>
  <c r="O35" i="23"/>
  <c r="C35" i="23"/>
  <c r="F31" i="23"/>
  <c r="U61" i="23" s="1"/>
  <c r="F30" i="23"/>
  <c r="D29" i="23"/>
  <c r="F29" i="23" s="1"/>
  <c r="D28" i="23"/>
  <c r="F28" i="23" s="1"/>
  <c r="F25" i="23"/>
  <c r="F24" i="23"/>
  <c r="F21" i="23"/>
  <c r="K21" i="23" s="1"/>
  <c r="F20" i="23"/>
  <c r="L20" i="23" s="1"/>
  <c r="L44" i="23" s="1"/>
  <c r="F15" i="23"/>
  <c r="K15" i="23" s="1"/>
  <c r="F14" i="23"/>
  <c r="K14" i="23" s="1"/>
  <c r="F12" i="23"/>
  <c r="J12" i="23" s="1"/>
  <c r="F11" i="23"/>
  <c r="K11" i="23" s="1"/>
  <c r="F10" i="23"/>
  <c r="M10" i="23" s="1"/>
  <c r="P44" i="23"/>
  <c r="F39" i="23"/>
  <c r="N39" i="23" s="1"/>
  <c r="N44" i="23" s="1"/>
  <c r="F34" i="23"/>
  <c r="O34" i="23" s="1"/>
  <c r="J19" i="23"/>
  <c r="F19" i="23"/>
  <c r="F18" i="23"/>
  <c r="J18" i="23" s="1"/>
  <c r="F13" i="23"/>
  <c r="K13" i="23" s="1"/>
  <c r="F9" i="23"/>
  <c r="K9" i="23" s="1"/>
  <c r="F8" i="23"/>
  <c r="F44" i="23" l="1"/>
  <c r="H44" i="23"/>
  <c r="M44" i="25"/>
  <c r="V44" i="25" s="1"/>
  <c r="F61" i="25"/>
  <c r="J46" i="25"/>
  <c r="J61" i="25" s="1"/>
  <c r="L46" i="25"/>
  <c r="L61" i="25" s="1"/>
  <c r="K46" i="25"/>
  <c r="K61" i="25" s="1"/>
  <c r="I46" i="25"/>
  <c r="I61" i="25" s="1"/>
  <c r="O44" i="23"/>
  <c r="J44" i="23"/>
  <c r="K19" i="23"/>
  <c r="M44" i="23"/>
  <c r="T44" i="23"/>
  <c r="I8" i="23"/>
  <c r="I44" i="23" s="1"/>
  <c r="K44" i="23"/>
  <c r="T61" i="23"/>
  <c r="U44" i="23"/>
  <c r="O46" i="25" l="1"/>
  <c r="O61" i="25" s="1"/>
  <c r="V44" i="23"/>
  <c r="P46" i="25"/>
  <c r="P61" i="25" s="1"/>
  <c r="N46" i="25"/>
  <c r="N61" i="25" s="1"/>
  <c r="M46" i="25"/>
  <c r="M61" i="25" s="1"/>
  <c r="W61" i="25"/>
  <c r="H61" i="25"/>
  <c r="F61" i="23"/>
  <c r="O46" i="23"/>
  <c r="O61" i="23" s="1"/>
  <c r="K46" i="23"/>
  <c r="K61" i="23" s="1"/>
  <c r="M46" i="23"/>
  <c r="M61" i="23" s="1"/>
  <c r="L46" i="23"/>
  <c r="L61" i="23" s="1"/>
  <c r="N46" i="23"/>
  <c r="N61" i="23" s="1"/>
  <c r="J46" i="23"/>
  <c r="J61" i="23" s="1"/>
  <c r="P46" i="23"/>
  <c r="P61" i="23" s="1"/>
  <c r="I46" i="23"/>
  <c r="I61" i="23" s="1"/>
  <c r="P63" i="25" l="1"/>
  <c r="L63" i="25"/>
  <c r="O63" i="25"/>
  <c r="K63" i="25"/>
  <c r="N63" i="25"/>
  <c r="J63" i="25"/>
  <c r="M63" i="25"/>
  <c r="I63" i="25"/>
  <c r="W61" i="23"/>
  <c r="H61" i="23"/>
  <c r="P63" i="23" l="1"/>
  <c r="L63" i="23"/>
  <c r="O63" i="23"/>
  <c r="K63" i="23"/>
  <c r="M63" i="23"/>
  <c r="N63" i="23"/>
  <c r="J63" i="23"/>
  <c r="I63" i="23"/>
</calcChain>
</file>

<file path=xl/sharedStrings.xml><?xml version="1.0" encoding="utf-8"?>
<sst xmlns="http://schemas.openxmlformats.org/spreadsheetml/2006/main" count="302" uniqueCount="111">
  <si>
    <t>Equities</t>
  </si>
  <si>
    <t>Currencies</t>
  </si>
  <si>
    <t>Quantity</t>
  </si>
  <si>
    <t>Price</t>
  </si>
  <si>
    <t>VaR</t>
  </si>
  <si>
    <t>FX</t>
  </si>
  <si>
    <t>Description</t>
  </si>
  <si>
    <t>Yield</t>
  </si>
  <si>
    <t>Liquidity</t>
  </si>
  <si>
    <t>Stress</t>
  </si>
  <si>
    <t>Expected</t>
  </si>
  <si>
    <t>Projected</t>
  </si>
  <si>
    <t>Volatility</t>
  </si>
  <si>
    <t>Total</t>
  </si>
  <si>
    <t>Fixed income</t>
  </si>
  <si>
    <t>Derivatives</t>
  </si>
  <si>
    <t>US$ Value</t>
  </si>
  <si>
    <t>-</t>
  </si>
  <si>
    <t>15% diversification applied</t>
  </si>
  <si>
    <t>Shorts</t>
  </si>
  <si>
    <t>Company V, common stock, Nasdaq</t>
  </si>
  <si>
    <t>Days to Liquidate or Close Out</t>
  </si>
  <si>
    <t>Commercial Real Estate</t>
  </si>
  <si>
    <t>Hedge Funds</t>
  </si>
  <si>
    <t>Company W, common stock, Euronext</t>
  </si>
  <si>
    <t>Company X, common stock, Nikkei</t>
  </si>
  <si>
    <t>Company Y, common stock, TSX</t>
  </si>
  <si>
    <t>Ownership of office tower located at 240 E Monroe in Chicago</t>
  </si>
  <si>
    <t>Ownership of West Hills shopping mall in Pittsburgh</t>
  </si>
  <si>
    <t>Z Investment Advisors Macro Fund</t>
  </si>
  <si>
    <t>Liquidity Metric</t>
  </si>
  <si>
    <t>1 day: up to USD 5Mn               2 days: up to USD 20mn</t>
  </si>
  <si>
    <t>5 days: up to USD 5Mn               10 days: up to USD 10mn</t>
  </si>
  <si>
    <t>1 day: up to USD 20mn</t>
  </si>
  <si>
    <t>1 day: up to USD 2mn</t>
  </si>
  <si>
    <t>180 days: up to USD 10mn    360 days up to USD 20mn</t>
  </si>
  <si>
    <t>180 days: up to USD 10 mn</t>
  </si>
  <si>
    <t>Ownership of luxury apartment building in Denver</t>
  </si>
  <si>
    <t>Projected cumulative liquidity</t>
  </si>
  <si>
    <t>1 day: up to USD 5Mn               2 days: up to USD 10mn        5 days up to USD 20 mn</t>
  </si>
  <si>
    <t>10 days: up to USD 2mn     30 days: up to USD 5mn</t>
  </si>
  <si>
    <t>Notes</t>
  </si>
  <si>
    <t>Attachment A</t>
  </si>
  <si>
    <t>YIELD &amp; LIQUIDITY ANALYSIS</t>
  </si>
  <si>
    <t>INVESTMENTS TO CONSIDER</t>
  </si>
  <si>
    <t>Q Investment Advisors Value Fund</t>
  </si>
  <si>
    <t>R Investment Advisors CRE Fund</t>
  </si>
  <si>
    <t>=</t>
  </si>
  <si>
    <t>Credit rating Baa3/BBB-</t>
  </si>
  <si>
    <t>Credit rating Ba1/BB+</t>
  </si>
  <si>
    <t>Credit rating Aa2/AA</t>
  </si>
  <si>
    <t>Credit rating A2/A</t>
  </si>
  <si>
    <t>Credit rating Aaa/AA+</t>
  </si>
  <si>
    <t>Credit rating Baa1/A-</t>
  </si>
  <si>
    <t>Credit rating A-</t>
  </si>
  <si>
    <t>Credit rating A3/A-</t>
  </si>
  <si>
    <t>1 day: up to USD 10mn                                2 days: up to USD 20mn</t>
  </si>
  <si>
    <t xml:space="preserve">1 day: up to USD 1mn                                                             2 days: up to USD 5mn               5 days: up to USD 10mn          10 days: up to USD 20mn     </t>
  </si>
  <si>
    <t xml:space="preserve">2 days: up to USD 1mn                                                             5 days: up to USD 5mn               10 days: up to USD 10mn           30 days: up to USD 20mn    </t>
  </si>
  <si>
    <t>1 day: up to USD 1Mn               2 days: up to USD 2mn         5 days up to USD 10 mn            10 days: up to USD 15mn</t>
  </si>
  <si>
    <t>WAV Yield</t>
  </si>
  <si>
    <t>5 days: up to USD 5mn             10 days: up to USD 15mn</t>
  </si>
  <si>
    <t>Can be sold in lots of USD 10mn</t>
  </si>
  <si>
    <t>Can be bought in lots of USD 5mn</t>
  </si>
  <si>
    <t>Existing projected cumulative liquidity</t>
  </si>
  <si>
    <t>New projected cumulative liquidity</t>
  </si>
  <si>
    <t>Old WAVY</t>
  </si>
  <si>
    <t>180 days up to USD 10mn</t>
  </si>
  <si>
    <t>+</t>
  </si>
  <si>
    <t>New WAVY</t>
  </si>
  <si>
    <t>Rationale for acceptability of liquidity risk in new portfolio</t>
  </si>
  <si>
    <t>This muni bond has a low yield compared to others with similar liquidity</t>
  </si>
  <si>
    <t>This hedge fund has typical liquidity but not a very high yield</t>
  </si>
  <si>
    <t>This bond has moderate yield and liquidity in modest amounts</t>
  </si>
  <si>
    <t>This stock has high growth potential and good liquidity but zero yield</t>
  </si>
  <si>
    <t>This stock has moderate yield and liquidity in moderate amounts</t>
  </si>
  <si>
    <t>This CRE investment has a moderate yield but limited liquidity and represents only one portion of the commercial real estate sector</t>
  </si>
  <si>
    <t>This Coco bond has limited liquidity in modest amoounts but a very high yield</t>
  </si>
  <si>
    <t>This high yield bond has reasonable liquidity in moderate amounts</t>
  </si>
  <si>
    <t>This bond has good liquidity in large amounts and a moderate yield</t>
  </si>
  <si>
    <t>This muni bond's yield and liquidity in moderate amounts are typical of the sector</t>
  </si>
  <si>
    <t>This stock has a good yield and moderate liquidity in modest amounts</t>
  </si>
  <si>
    <t>This stock has a low yield but moderate liquidity in large amounts</t>
  </si>
  <si>
    <t>This CRE investment has average  yield and liquidity and represents a different portion of the commercial real estate sector</t>
  </si>
  <si>
    <t>This CRE investment has better than average  yield and liquidity and represents a different portion of the commercial real estate sector</t>
  </si>
  <si>
    <t>This hedge fund has average yield and liquidity for the sector</t>
  </si>
  <si>
    <t>This hedge fund adds CRE expsoure with average yield and liquidity for the sector</t>
  </si>
  <si>
    <t>The liquidity profile of the new portfolio exceeds the family's requirement for at least 30% of the portfolio to be liquid in 2 days.</t>
  </si>
  <si>
    <t>GLOBAL MARKET CORRECTION</t>
  </si>
  <si>
    <t>Scenario:</t>
  </si>
  <si>
    <t>CONTAGION RISK ASSESSMENT</t>
  </si>
  <si>
    <t>Contagion between market, credit and/or liquidity risk: Yes/No? Briefly state the rationale for your assessment</t>
  </si>
  <si>
    <r>
      <t>VANDERBILT FAMILY OFFICE INVESTMENT PORTFOLIO -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NEW PORTFOLIO</t>
    </r>
  </si>
  <si>
    <r>
      <t>VANDERBILT FAMILY OFFICE INVESTMENT PORTFOLIO - NEW PORTFOLIO -</t>
    </r>
    <r>
      <rPr>
        <b/>
        <sz val="11"/>
        <color rgb="FFFF0000"/>
        <rFont val="Calibri"/>
        <family val="2"/>
        <scheme val="minor"/>
      </rPr>
      <t xml:space="preserve"> STRESS TEST</t>
    </r>
  </si>
  <si>
    <t>2 days: up to USD 5mn               5 days: up to USD 10mn          10 days up to USD 20mn</t>
  </si>
  <si>
    <t>60 days: up to USD 5mn</t>
  </si>
  <si>
    <t>180 days: up to USD 10mn</t>
  </si>
  <si>
    <t>Sovereign Q, EUR, 1,000,000, 31-Dec-2028, 1.5%, 360/360</t>
  </si>
  <si>
    <t xml:space="preserve">Bank R, USD, 2,000,000, senior unsecured, 31-Dec-2023, 2.0%, 180/360 </t>
  </si>
  <si>
    <t>Bank S, USD, 5,000,000, Coco, 31-Dec-2037, 6%, 180/360</t>
  </si>
  <si>
    <t>Company T, CAD, 1,500,000, 31-Dec-2021, 2.75%, 360/360</t>
  </si>
  <si>
    <t>US Treasury, USD, 3,000,000, 0%, 31-Dec-2038</t>
  </si>
  <si>
    <t>NJ State Transit Authority, USD, 1,000,000, 15-Jun-2024, 3%, 180/360</t>
  </si>
  <si>
    <t>IL State GO, USD, 1,000,000, 3-Jan-2024, 5%, 180/360</t>
  </si>
  <si>
    <t>MI Financial Authority, USD, 1,000,000, 1-Jun-2022, 5%, 180/360</t>
  </si>
  <si>
    <t>Sell EUR, Buy USD, 1.05, 31-Dec-2019</t>
  </si>
  <si>
    <t>Sell CAD, Buy USD, 1.35, 30-Jun-2019</t>
  </si>
  <si>
    <t>Put, SPX, strike 1,800, 5-Jul-19</t>
  </si>
  <si>
    <t>Put, AEX, strike 395, 5-Jul-19</t>
  </si>
  <si>
    <t>Put, Nikkei 225, strike 15,000, 5-Jul-19</t>
  </si>
  <si>
    <t>Put, GSPTSE, strike 13,000, 5-Jul-19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</si>
</sst>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_);\(#,##0.0\)"/>
  </numFmts>
  <fonts count="1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color rgb="FF00B05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i/>
      <sz val="10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33CC"/>
      <name val="Calibri"/>
      <family val="2"/>
      <scheme val="minor"/>
    </font>
    <font>
      <sz val="11"/>
      <color rgb="FF0033CC"/>
      <name val="Calibri"/>
      <family val="2"/>
      <scheme val="minor"/>
    </font>
    <font>
      <i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Arial"/>
      <family val="2"/>
    </font>
    <font>
      <i/>
      <sz val="11"/>
      <color rgb="FF0033CC"/>
      <name val="Calibri"/>
      <family val="2"/>
      <scheme val="minor"/>
    </font>
    <font>
      <i/>
      <sz val="10"/>
      <color rgb="FF0033CC"/>
      <name val="Calibri"/>
      <family val="2"/>
      <scheme val="minor"/>
    </font>
    <font>
      <i/>
      <sz val="11"/>
      <color theme="7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2" fillId="0" borderId="0"/>
  </cellStyleXfs>
  <cellXfs count="167">
    <xf numFmtId="0" fontId="0" fillId="0" borderId="0" xfId="0"/>
    <xf numFmtId="0" fontId="0" fillId="0" borderId="0" xfId="0" applyAlignment="1">
      <alignment horizontal="center"/>
    </xf>
    <xf numFmtId="0" fontId="0" fillId="0" borderId="9" xfId="0" applyBorder="1"/>
    <xf numFmtId="0" fontId="0" fillId="0" borderId="11" xfId="0" applyBorder="1"/>
    <xf numFmtId="0" fontId="0" fillId="0" borderId="14" xfId="0" applyBorder="1"/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7" xfId="0" applyBorder="1"/>
    <xf numFmtId="0" fontId="2" fillId="0" borderId="9" xfId="0" applyFont="1" applyBorder="1"/>
    <xf numFmtId="0" fontId="0" fillId="0" borderId="6" xfId="0" applyBorder="1"/>
    <xf numFmtId="0" fontId="2" fillId="0" borderId="0" xfId="0" applyFo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37" fontId="0" fillId="0" borderId="15" xfId="0" applyNumberFormat="1" applyBorder="1"/>
    <xf numFmtId="2" fontId="0" fillId="0" borderId="15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right" indent="1"/>
    </xf>
    <xf numFmtId="0" fontId="0" fillId="0" borderId="0" xfId="0" applyBorder="1" applyAlignment="1">
      <alignment vertical="center"/>
    </xf>
    <xf numFmtId="0" fontId="0" fillId="0" borderId="15" xfId="0" applyBorder="1" applyAlignment="1">
      <alignment horizontal="center" vertical="center"/>
    </xf>
    <xf numFmtId="2" fontId="0" fillId="0" borderId="15" xfId="0" applyNumberFormat="1" applyBorder="1" applyAlignment="1">
      <alignment horizontal="center" vertical="center"/>
    </xf>
    <xf numFmtId="37" fontId="0" fillId="0" borderId="15" xfId="0" applyNumberFormat="1" applyBorder="1" applyAlignment="1">
      <alignment vertical="center"/>
    </xf>
    <xf numFmtId="10" fontId="0" fillId="0" borderId="9" xfId="0" applyNumberFormat="1" applyBorder="1" applyAlignment="1">
      <alignment horizontal="center" vertical="center"/>
    </xf>
    <xf numFmtId="10" fontId="0" fillId="0" borderId="15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9" fontId="0" fillId="0" borderId="15" xfId="0" applyNumberFormat="1" applyBorder="1" applyAlignment="1">
      <alignment horizontal="center" vertical="center"/>
    </xf>
    <xf numFmtId="10" fontId="1" fillId="0" borderId="9" xfId="0" applyNumberFormat="1" applyFont="1" applyBorder="1" applyAlignment="1">
      <alignment horizontal="center" vertical="center"/>
    </xf>
    <xf numFmtId="9" fontId="1" fillId="0" borderId="15" xfId="0" applyNumberFormat="1" applyFont="1" applyBorder="1" applyAlignment="1">
      <alignment horizontal="center" vertical="center"/>
    </xf>
    <xf numFmtId="164" fontId="0" fillId="0" borderId="15" xfId="0" applyNumberForma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5" xfId="0" applyFont="1" applyBorder="1" applyAlignment="1">
      <alignment horizontal="center" vertical="center"/>
    </xf>
    <xf numFmtId="2" fontId="0" fillId="0" borderId="15" xfId="0" applyNumberFormat="1" applyFont="1" applyBorder="1" applyAlignment="1">
      <alignment horizontal="center" vertical="center"/>
    </xf>
    <xf numFmtId="37" fontId="0" fillId="0" borderId="15" xfId="0" applyNumberFormat="1" applyFont="1" applyBorder="1" applyAlignment="1">
      <alignment vertical="center"/>
    </xf>
    <xf numFmtId="10" fontId="0" fillId="0" borderId="9" xfId="0" applyNumberFormat="1" applyFont="1" applyBorder="1" applyAlignment="1">
      <alignment horizontal="center" vertical="center"/>
    </xf>
    <xf numFmtId="10" fontId="0" fillId="0" borderId="15" xfId="0" applyNumberFormat="1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9" fontId="0" fillId="0" borderId="15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3" fontId="0" fillId="0" borderId="15" xfId="0" applyNumberFormat="1" applyBorder="1" applyAlignment="1">
      <alignment horizontal="center" vertical="center"/>
    </xf>
    <xf numFmtId="4" fontId="0" fillId="0" borderId="15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3" fontId="0" fillId="0" borderId="15" xfId="0" applyNumberFormat="1" applyFont="1" applyBorder="1" applyAlignment="1">
      <alignment horizontal="center" vertical="center"/>
    </xf>
    <xf numFmtId="37" fontId="0" fillId="0" borderId="0" xfId="0" applyNumberFormat="1"/>
    <xf numFmtId="37" fontId="2" fillId="2" borderId="1" xfId="0" applyNumberFormat="1" applyFont="1" applyFill="1" applyBorder="1"/>
    <xf numFmtId="3" fontId="0" fillId="2" borderId="1" xfId="0" applyNumberFormat="1" applyFill="1" applyBorder="1"/>
    <xf numFmtId="0" fontId="3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12" xfId="0" applyBorder="1" applyAlignment="1">
      <alignment vertical="center" wrapText="1"/>
    </xf>
    <xf numFmtId="165" fontId="0" fillId="0" borderId="0" xfId="0" applyNumberFormat="1"/>
    <xf numFmtId="0" fontId="4" fillId="0" borderId="1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  <xf numFmtId="0" fontId="9" fillId="0" borderId="0" xfId="0" applyFont="1"/>
    <xf numFmtId="0" fontId="0" fillId="0" borderId="0" xfId="0" applyBorder="1"/>
    <xf numFmtId="164" fontId="10" fillId="0" borderId="0" xfId="0" applyNumberFormat="1" applyFont="1" applyAlignment="1">
      <alignment horizontal="center"/>
    </xf>
    <xf numFmtId="0" fontId="11" fillId="0" borderId="0" xfId="0" applyFont="1"/>
    <xf numFmtId="0" fontId="7" fillId="0" borderId="0" xfId="0" applyFont="1" applyAlignment="1">
      <alignment horizontal="right"/>
    </xf>
    <xf numFmtId="0" fontId="0" fillId="5" borderId="0" xfId="0" applyFill="1"/>
    <xf numFmtId="37" fontId="0" fillId="5" borderId="9" xfId="0" applyNumberFormat="1" applyFill="1" applyBorder="1"/>
    <xf numFmtId="37" fontId="0" fillId="5" borderId="9" xfId="0" applyNumberFormat="1" applyFill="1" applyBorder="1" applyAlignment="1">
      <alignment vertical="center"/>
    </xf>
    <xf numFmtId="37" fontId="0" fillId="5" borderId="9" xfId="0" applyNumberFormat="1" applyFont="1" applyFill="1" applyBorder="1" applyAlignment="1">
      <alignment vertical="center"/>
    </xf>
    <xf numFmtId="0" fontId="1" fillId="0" borderId="0" xfId="0" applyFont="1"/>
    <xf numFmtId="0" fontId="8" fillId="0" borderId="1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0" fontId="9" fillId="0" borderId="9" xfId="0" applyNumberFormat="1" applyFont="1" applyBorder="1" applyAlignment="1">
      <alignment horizontal="center"/>
    </xf>
    <xf numFmtId="10" fontId="9" fillId="0" borderId="9" xfId="0" applyNumberFormat="1" applyFont="1" applyBorder="1" applyAlignment="1">
      <alignment horizontal="center" vertical="center"/>
    </xf>
    <xf numFmtId="10" fontId="9" fillId="0" borderId="11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165" fontId="9" fillId="0" borderId="9" xfId="0" applyNumberFormat="1" applyFont="1" applyBorder="1" applyAlignment="1">
      <alignment horizontal="center"/>
    </xf>
    <xf numFmtId="165" fontId="9" fillId="0" borderId="14" xfId="0" applyNumberFormat="1" applyFont="1" applyBorder="1" applyAlignment="1">
      <alignment horizontal="center"/>
    </xf>
    <xf numFmtId="165" fontId="9" fillId="0" borderId="15" xfId="0" applyNumberFormat="1" applyFont="1" applyBorder="1" applyAlignment="1">
      <alignment horizontal="center"/>
    </xf>
    <xf numFmtId="165" fontId="9" fillId="0" borderId="9" xfId="0" applyNumberFormat="1" applyFont="1" applyBorder="1" applyAlignment="1">
      <alignment horizontal="center" vertical="center"/>
    </xf>
    <xf numFmtId="165" fontId="9" fillId="0" borderId="15" xfId="0" applyNumberFormat="1" applyFont="1" applyBorder="1" applyAlignment="1">
      <alignment horizontal="center" vertical="center"/>
    </xf>
    <xf numFmtId="165" fontId="9" fillId="0" borderId="11" xfId="0" applyNumberFormat="1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center" vertical="center"/>
    </xf>
    <xf numFmtId="165" fontId="9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165" fontId="9" fillId="5" borderId="9" xfId="0" applyNumberFormat="1" applyFont="1" applyFill="1" applyBorder="1" applyAlignment="1">
      <alignment horizontal="center" vertical="center"/>
    </xf>
    <xf numFmtId="165" fontId="0" fillId="5" borderId="9" xfId="0" applyNumberFormat="1" applyFont="1" applyFill="1" applyBorder="1" applyAlignment="1">
      <alignment horizontal="center" vertical="center"/>
    </xf>
    <xf numFmtId="165" fontId="0" fillId="5" borderId="9" xfId="0" applyNumberForma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0" xfId="0" applyAlignment="1"/>
    <xf numFmtId="10" fontId="7" fillId="0" borderId="1" xfId="0" applyNumberFormat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 applyAlignment="1">
      <alignment horizontal="right" indent="1"/>
    </xf>
    <xf numFmtId="0" fontId="0" fillId="4" borderId="0" xfId="0" applyFill="1"/>
    <xf numFmtId="0" fontId="1" fillId="4" borderId="0" xfId="0" applyFont="1" applyFill="1"/>
    <xf numFmtId="0" fontId="10" fillId="4" borderId="0" xfId="0" applyFont="1" applyFill="1" applyAlignment="1">
      <alignment horizontal="right"/>
    </xf>
    <xf numFmtId="164" fontId="10" fillId="4" borderId="0" xfId="0" applyNumberFormat="1" applyFont="1" applyFill="1" applyAlignment="1">
      <alignment horizontal="center"/>
    </xf>
    <xf numFmtId="165" fontId="0" fillId="0" borderId="9" xfId="0" applyNumberFormat="1" applyFill="1" applyBorder="1" applyAlignment="1">
      <alignment horizontal="center"/>
    </xf>
    <xf numFmtId="165" fontId="0" fillId="0" borderId="14" xfId="0" applyNumberFormat="1" applyFill="1" applyBorder="1" applyAlignment="1">
      <alignment horizontal="center"/>
    </xf>
    <xf numFmtId="165" fontId="0" fillId="0" borderId="15" xfId="0" applyNumberFormat="1" applyFill="1" applyBorder="1" applyAlignment="1">
      <alignment horizontal="center"/>
    </xf>
    <xf numFmtId="165" fontId="0" fillId="0" borderId="9" xfId="0" applyNumberFormat="1" applyFill="1" applyBorder="1" applyAlignment="1">
      <alignment horizontal="center" vertical="center"/>
    </xf>
    <xf numFmtId="165" fontId="0" fillId="0" borderId="15" xfId="0" applyNumberFormat="1" applyFill="1" applyBorder="1" applyAlignment="1">
      <alignment horizontal="center" vertical="center"/>
    </xf>
    <xf numFmtId="165" fontId="0" fillId="0" borderId="9" xfId="0" applyNumberFormat="1" applyFont="1" applyFill="1" applyBorder="1" applyAlignment="1">
      <alignment horizontal="center" vertical="center"/>
    </xf>
    <xf numFmtId="165" fontId="0" fillId="0" borderId="15" xfId="0" applyNumberFormat="1" applyFont="1" applyFill="1" applyBorder="1" applyAlignment="1">
      <alignment horizontal="center" vertical="center"/>
    </xf>
    <xf numFmtId="2" fontId="0" fillId="0" borderId="14" xfId="0" applyNumberFormat="1" applyBorder="1" applyAlignment="1">
      <alignment horizontal="center"/>
    </xf>
    <xf numFmtId="37" fontId="0" fillId="0" borderId="14" xfId="0" applyNumberFormat="1" applyBorder="1"/>
    <xf numFmtId="0" fontId="0" fillId="0" borderId="10" xfId="0" applyBorder="1"/>
    <xf numFmtId="3" fontId="0" fillId="0" borderId="2" xfId="0" applyNumberFormat="1" applyFont="1" applyFill="1" applyBorder="1" applyAlignment="1">
      <alignment horizontal="center" vertical="center"/>
    </xf>
    <xf numFmtId="10" fontId="9" fillId="0" borderId="7" xfId="0" applyNumberFormat="1" applyFont="1" applyBorder="1" applyAlignment="1">
      <alignment horizontal="center"/>
    </xf>
    <xf numFmtId="165" fontId="0" fillId="0" borderId="7" xfId="0" applyNumberForma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14" xfId="0" applyFont="1" applyBorder="1" applyAlignment="1">
      <alignment horizontal="left" vertical="center" wrapText="1"/>
    </xf>
    <xf numFmtId="165" fontId="0" fillId="0" borderId="11" xfId="0" applyNumberFormat="1" applyFill="1" applyBorder="1" applyAlignment="1">
      <alignment horizontal="center" vertical="center"/>
    </xf>
    <xf numFmtId="165" fontId="0" fillId="0" borderId="2" xfId="0" applyNumberFormat="1" applyFill="1" applyBorder="1" applyAlignment="1">
      <alignment horizontal="center" vertical="center"/>
    </xf>
    <xf numFmtId="9" fontId="0" fillId="0" borderId="2" xfId="0" applyNumberFormat="1" applyBorder="1" applyAlignment="1">
      <alignment horizontal="center" vertical="center"/>
    </xf>
    <xf numFmtId="10" fontId="0" fillId="0" borderId="11" xfId="0" applyNumberForma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164" fontId="13" fillId="0" borderId="0" xfId="0" applyNumberFormat="1" applyFont="1"/>
    <xf numFmtId="164" fontId="13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37" fontId="14" fillId="0" borderId="0" xfId="0" applyNumberFormat="1" applyFont="1"/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9" fillId="0" borderId="14" xfId="0" applyFont="1" applyBorder="1"/>
    <xf numFmtId="10" fontId="8" fillId="0" borderId="1" xfId="0" applyNumberFormat="1" applyFont="1" applyBorder="1" applyAlignment="1">
      <alignment horizontal="center"/>
    </xf>
    <xf numFmtId="0" fontId="8" fillId="0" borderId="0" xfId="0" applyFont="1" applyAlignment="1"/>
    <xf numFmtId="0" fontId="9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165" fontId="15" fillId="0" borderId="0" xfId="0" applyNumberFormat="1" applyFont="1"/>
    <xf numFmtId="0" fontId="7" fillId="0" borderId="15" xfId="0" applyFont="1" applyFill="1" applyBorder="1" applyAlignment="1">
      <alignment horizontal="center"/>
    </xf>
    <xf numFmtId="0" fontId="13" fillId="0" borderId="15" xfId="0" applyFont="1" applyBorder="1" applyAlignment="1">
      <alignment vertical="center" wrapText="1"/>
    </xf>
    <xf numFmtId="1" fontId="0" fillId="0" borderId="15" xfId="0" applyNumberFormat="1" applyFont="1" applyBorder="1" applyAlignment="1">
      <alignment horizontal="center" vertical="center"/>
    </xf>
    <xf numFmtId="1" fontId="0" fillId="0" borderId="15" xfId="0" applyNumberFormat="1" applyBorder="1" applyAlignment="1">
      <alignment horizontal="center" vertical="center"/>
    </xf>
    <xf numFmtId="0" fontId="9" fillId="3" borderId="15" xfId="0" applyFont="1" applyFill="1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7" fillId="0" borderId="7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15" fontId="2" fillId="0" borderId="7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0033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68"/>
  <sheetViews>
    <sheetView tabSelected="1" zoomScale="80" zoomScaleNormal="80" workbookViewId="0">
      <pane ySplit="5" topLeftCell="A6" activePane="bottomLeft" state="frozen"/>
      <selection pane="bottomLeft"/>
    </sheetView>
  </sheetViews>
  <sheetFormatPr baseColWidth="10" defaultColWidth="8.83203125" defaultRowHeight="15" x14ac:dyDescent="0.2"/>
  <cols>
    <col min="1" max="1" width="5" customWidth="1"/>
    <col min="2" max="2" width="37.5" customWidth="1"/>
    <col min="3" max="4" width="10.5" customWidth="1"/>
    <col min="5" max="5" width="7.5" customWidth="1"/>
    <col min="6" max="6" width="11.5" customWidth="1"/>
    <col min="7" max="7" width="2" customWidth="1"/>
    <col min="8" max="8" width="10" customWidth="1"/>
    <col min="9" max="9" width="6.33203125" customWidth="1"/>
    <col min="10" max="12" width="6.1640625" customWidth="1"/>
    <col min="13" max="13" width="6.33203125" customWidth="1"/>
    <col min="14" max="14" width="6.5" customWidth="1"/>
    <col min="15" max="15" width="7.33203125" customWidth="1"/>
    <col min="16" max="16" width="7.5" customWidth="1"/>
    <col min="17" max="17" width="9.1640625" hidden="1" customWidth="1"/>
    <col min="18" max="18" width="9.83203125" hidden="1" customWidth="1"/>
    <col min="19" max="20" width="9.1640625" hidden="1" customWidth="1"/>
    <col min="21" max="21" width="9.83203125" hidden="1" customWidth="1"/>
    <col min="22" max="22" width="22.6640625" customWidth="1"/>
    <col min="23" max="23" width="15.83203125" customWidth="1"/>
    <col min="24" max="24" width="70.5" hidden="1" customWidth="1"/>
  </cols>
  <sheetData>
    <row r="1" spans="1:24" x14ac:dyDescent="0.2">
      <c r="A1" s="69" t="s">
        <v>42</v>
      </c>
    </row>
    <row r="2" spans="1:24" x14ac:dyDescent="0.2">
      <c r="A2" s="12" t="s">
        <v>92</v>
      </c>
      <c r="F2" s="8"/>
      <c r="I2" s="65"/>
    </row>
    <row r="3" spans="1:24" x14ac:dyDescent="0.2">
      <c r="B3" s="70"/>
      <c r="J3" s="65"/>
    </row>
    <row r="4" spans="1:24" x14ac:dyDescent="0.2">
      <c r="A4" s="153"/>
      <c r="B4" s="154"/>
      <c r="C4" s="154"/>
      <c r="D4" s="155">
        <v>43555</v>
      </c>
      <c r="E4" s="156"/>
      <c r="F4" s="157"/>
      <c r="G4" s="71"/>
      <c r="H4" s="76" t="s">
        <v>10</v>
      </c>
      <c r="I4" s="165" t="s">
        <v>21</v>
      </c>
      <c r="J4" s="165"/>
      <c r="K4" s="165"/>
      <c r="L4" s="165"/>
      <c r="M4" s="165"/>
      <c r="N4" s="165"/>
      <c r="O4" s="165"/>
      <c r="P4" s="166"/>
      <c r="Q4" s="160" t="s">
        <v>10</v>
      </c>
      <c r="R4" s="161"/>
      <c r="S4" s="162"/>
      <c r="T4" s="160" t="s">
        <v>11</v>
      </c>
      <c r="U4" s="162"/>
      <c r="V4" s="4"/>
      <c r="W4" s="4"/>
      <c r="X4" s="138"/>
    </row>
    <row r="5" spans="1:24" x14ac:dyDescent="0.2">
      <c r="A5" s="163" t="s">
        <v>6</v>
      </c>
      <c r="B5" s="164"/>
      <c r="C5" s="6" t="s">
        <v>2</v>
      </c>
      <c r="D5" s="97" t="s">
        <v>3</v>
      </c>
      <c r="E5" s="6" t="s">
        <v>5</v>
      </c>
      <c r="F5" s="5" t="s">
        <v>16</v>
      </c>
      <c r="G5" s="71"/>
      <c r="H5" s="77" t="s">
        <v>7</v>
      </c>
      <c r="I5" s="81">
        <v>1</v>
      </c>
      <c r="J5" s="81">
        <v>2</v>
      </c>
      <c r="K5" s="81">
        <v>5</v>
      </c>
      <c r="L5" s="81">
        <v>10</v>
      </c>
      <c r="M5" s="81">
        <v>30</v>
      </c>
      <c r="N5" s="81">
        <v>60</v>
      </c>
      <c r="O5" s="81">
        <v>180</v>
      </c>
      <c r="P5" s="82">
        <v>360</v>
      </c>
      <c r="Q5" s="97" t="s">
        <v>7</v>
      </c>
      <c r="R5" s="6" t="s">
        <v>12</v>
      </c>
      <c r="S5" s="5" t="s">
        <v>8</v>
      </c>
      <c r="T5" s="97" t="s">
        <v>4</v>
      </c>
      <c r="U5" s="5" t="s">
        <v>9</v>
      </c>
      <c r="V5" s="7" t="s">
        <v>30</v>
      </c>
      <c r="W5" s="7" t="s">
        <v>41</v>
      </c>
      <c r="X5" s="145" t="s">
        <v>90</v>
      </c>
    </row>
    <row r="6" spans="1:24" x14ac:dyDescent="0.2">
      <c r="A6" s="9"/>
      <c r="B6" s="11"/>
      <c r="C6" s="13"/>
      <c r="D6" s="16"/>
      <c r="E6" s="16"/>
      <c r="F6" s="15"/>
      <c r="G6" s="71"/>
      <c r="H6" s="78"/>
      <c r="I6" s="83"/>
      <c r="J6" s="83"/>
      <c r="K6" s="83"/>
      <c r="L6" s="83"/>
      <c r="M6" s="83"/>
      <c r="N6" s="83"/>
      <c r="O6" s="83"/>
      <c r="P6" s="84"/>
      <c r="Q6" s="17"/>
      <c r="R6" s="14"/>
      <c r="S6" s="18"/>
      <c r="T6" s="17"/>
      <c r="U6" s="13"/>
      <c r="V6" s="58"/>
      <c r="W6" s="131"/>
      <c r="X6" s="141"/>
    </row>
    <row r="7" spans="1:24" x14ac:dyDescent="0.2">
      <c r="A7" s="10" t="s">
        <v>14</v>
      </c>
      <c r="C7" s="14"/>
      <c r="D7" s="16"/>
      <c r="E7" s="16"/>
      <c r="F7" s="15"/>
      <c r="G7" s="72"/>
      <c r="H7" s="78"/>
      <c r="I7" s="83"/>
      <c r="J7" s="83"/>
      <c r="K7" s="83"/>
      <c r="L7" s="83"/>
      <c r="M7" s="83"/>
      <c r="N7" s="83"/>
      <c r="O7" s="83"/>
      <c r="P7" s="85"/>
      <c r="Q7" s="17"/>
      <c r="R7" s="14"/>
      <c r="S7" s="18"/>
      <c r="T7" s="17"/>
      <c r="U7" s="14"/>
      <c r="V7" s="58"/>
      <c r="W7" s="131"/>
      <c r="X7" s="142"/>
    </row>
    <row r="8" spans="1:24" ht="32" x14ac:dyDescent="0.2">
      <c r="A8" s="2"/>
      <c r="B8" s="31" t="s">
        <v>97</v>
      </c>
      <c r="C8" s="21">
        <v>3</v>
      </c>
      <c r="D8" s="22">
        <v>102.122</v>
      </c>
      <c r="E8" s="22">
        <v>1.0906</v>
      </c>
      <c r="F8" s="23">
        <f>10000*D8*E8*C8</f>
        <v>3341227.5960000004</v>
      </c>
      <c r="G8" s="73"/>
      <c r="H8" s="79">
        <v>1.2500000000000001E-2</v>
      </c>
      <c r="I8" s="86">
        <f>F8/1000000</f>
        <v>3.3412275960000004</v>
      </c>
      <c r="J8" s="86"/>
      <c r="K8" s="86"/>
      <c r="L8" s="86"/>
      <c r="M8" s="86"/>
      <c r="N8" s="86"/>
      <c r="O8" s="86"/>
      <c r="P8" s="87"/>
      <c r="Q8" s="24">
        <v>1.2500000000000001E-2</v>
      </c>
      <c r="R8" s="25">
        <v>7.4999999999999997E-3</v>
      </c>
      <c r="S8" s="26">
        <v>1</v>
      </c>
      <c r="T8" s="24">
        <v>3.0000000000000001E-3</v>
      </c>
      <c r="U8" s="27">
        <v>0.03</v>
      </c>
      <c r="V8" s="59" t="s">
        <v>56</v>
      </c>
      <c r="W8" s="132" t="s">
        <v>50</v>
      </c>
      <c r="X8" s="146" t="s">
        <v>91</v>
      </c>
    </row>
    <row r="9" spans="1:24" ht="56.25" customHeight="1" x14ac:dyDescent="0.2">
      <c r="A9" s="2"/>
      <c r="B9" s="31" t="s">
        <v>98</v>
      </c>
      <c r="C9" s="33">
        <v>3</v>
      </c>
      <c r="D9" s="22">
        <v>101.19199999999999</v>
      </c>
      <c r="E9" s="22">
        <v>1</v>
      </c>
      <c r="F9" s="23">
        <f>20000*D9*E9*C9</f>
        <v>6071519.9999999991</v>
      </c>
      <c r="G9" s="73"/>
      <c r="H9" s="79">
        <v>1.7500000000000002E-2</v>
      </c>
      <c r="I9" s="86">
        <v>1</v>
      </c>
      <c r="J9" s="86">
        <v>4</v>
      </c>
      <c r="K9" s="86">
        <f>F9/1000000-I9-J9</f>
        <v>1.0715199999999987</v>
      </c>
      <c r="L9" s="86"/>
      <c r="M9" s="86"/>
      <c r="N9" s="86"/>
      <c r="O9" s="86"/>
      <c r="P9" s="87"/>
      <c r="Q9" s="24">
        <v>1.7500000000000002E-2</v>
      </c>
      <c r="R9" s="25">
        <v>3.5000000000000001E-3</v>
      </c>
      <c r="S9" s="26">
        <v>2</v>
      </c>
      <c r="T9" s="24">
        <v>2.5000000000000001E-3</v>
      </c>
      <c r="U9" s="27">
        <v>0.05</v>
      </c>
      <c r="V9" s="59" t="s">
        <v>57</v>
      </c>
      <c r="W9" s="132" t="s">
        <v>51</v>
      </c>
      <c r="X9" s="142" t="s">
        <v>73</v>
      </c>
    </row>
    <row r="10" spans="1:24" ht="32" x14ac:dyDescent="0.2">
      <c r="A10" s="2"/>
      <c r="B10" s="31" t="s">
        <v>99</v>
      </c>
      <c r="C10" s="33">
        <v>1</v>
      </c>
      <c r="D10" s="22">
        <v>0.97</v>
      </c>
      <c r="E10" s="22">
        <v>1</v>
      </c>
      <c r="F10" s="23">
        <f>5000000*D10*E10*C10</f>
        <v>4850000</v>
      </c>
      <c r="G10" s="73"/>
      <c r="H10" s="79">
        <v>6.25E-2</v>
      </c>
      <c r="I10" s="95"/>
      <c r="J10" s="95"/>
      <c r="K10" s="95"/>
      <c r="L10" s="109">
        <v>2</v>
      </c>
      <c r="M10" s="109">
        <f>F10/1000000-L10</f>
        <v>2.8499999999999996</v>
      </c>
      <c r="N10" s="109"/>
      <c r="O10" s="109"/>
      <c r="P10" s="110"/>
      <c r="Q10" s="24"/>
      <c r="R10" s="25"/>
      <c r="S10" s="26"/>
      <c r="T10" s="24"/>
      <c r="U10" s="27"/>
      <c r="V10" s="59" t="s">
        <v>40</v>
      </c>
      <c r="W10" s="132" t="s">
        <v>48</v>
      </c>
      <c r="X10" s="142" t="s">
        <v>77</v>
      </c>
    </row>
    <row r="11" spans="1:24" ht="32" x14ac:dyDescent="0.2">
      <c r="A11" s="2"/>
      <c r="B11" s="32" t="s">
        <v>100</v>
      </c>
      <c r="C11" s="33">
        <v>5</v>
      </c>
      <c r="D11" s="34">
        <v>0.95750000000000002</v>
      </c>
      <c r="E11" s="34">
        <v>1.39</v>
      </c>
      <c r="F11" s="35">
        <f>1500000*D11/E11*C11</f>
        <v>5166366.9064748203</v>
      </c>
      <c r="G11" s="74"/>
      <c r="H11" s="79">
        <v>3.5000000000000003E-2</v>
      </c>
      <c r="I11" s="95"/>
      <c r="J11" s="95"/>
      <c r="K11" s="111">
        <f>F11/1000000</f>
        <v>5.1663669064748206</v>
      </c>
      <c r="L11" s="111"/>
      <c r="M11" s="111"/>
      <c r="N11" s="111"/>
      <c r="O11" s="111"/>
      <c r="P11" s="112"/>
      <c r="Q11" s="36">
        <v>3.5000000000000003E-2</v>
      </c>
      <c r="R11" s="37">
        <v>2.6499999999999999E-2</v>
      </c>
      <c r="S11" s="38">
        <v>5</v>
      </c>
      <c r="T11" s="28">
        <v>6.4999999999999997E-3</v>
      </c>
      <c r="U11" s="29">
        <v>-0.1</v>
      </c>
      <c r="V11" s="59" t="s">
        <v>61</v>
      </c>
      <c r="W11" s="132" t="s">
        <v>49</v>
      </c>
      <c r="X11" s="142" t="s">
        <v>78</v>
      </c>
    </row>
    <row r="12" spans="1:24" ht="28.5" customHeight="1" x14ac:dyDescent="0.2">
      <c r="A12" s="2"/>
      <c r="B12" s="31" t="s">
        <v>101</v>
      </c>
      <c r="C12" s="21">
        <v>5</v>
      </c>
      <c r="D12" s="22">
        <v>0.59267999999999998</v>
      </c>
      <c r="E12" s="22">
        <v>1</v>
      </c>
      <c r="F12" s="23">
        <f>3000000*D12*C12</f>
        <v>8890200</v>
      </c>
      <c r="G12" s="73"/>
      <c r="H12" s="79">
        <v>2.6499999999999999E-2</v>
      </c>
      <c r="I12" s="109">
        <v>5</v>
      </c>
      <c r="J12" s="109">
        <f>F12/1000000-I12</f>
        <v>3.8902000000000001</v>
      </c>
      <c r="K12" s="109"/>
      <c r="L12" s="109"/>
      <c r="M12" s="109"/>
      <c r="N12" s="109"/>
      <c r="O12" s="109"/>
      <c r="P12" s="110"/>
      <c r="Q12" s="24">
        <v>2.6499999999999999E-2</v>
      </c>
      <c r="R12" s="25">
        <v>5.4999999999999997E-3</v>
      </c>
      <c r="S12" s="26">
        <v>1</v>
      </c>
      <c r="T12" s="24">
        <v>1.5E-3</v>
      </c>
      <c r="U12" s="30">
        <v>2.5000000000000001E-2</v>
      </c>
      <c r="V12" s="59" t="s">
        <v>31</v>
      </c>
      <c r="W12" s="132" t="s">
        <v>52</v>
      </c>
      <c r="X12" s="142" t="s">
        <v>79</v>
      </c>
    </row>
    <row r="13" spans="1:24" ht="52.5" customHeight="1" x14ac:dyDescent="0.2">
      <c r="A13" s="2"/>
      <c r="B13" s="31" t="s">
        <v>102</v>
      </c>
      <c r="C13" s="33">
        <v>4</v>
      </c>
      <c r="D13" s="22">
        <v>100.471</v>
      </c>
      <c r="E13" s="22">
        <v>1</v>
      </c>
      <c r="F13" s="23">
        <f>10000*D13*E13*C13</f>
        <v>4018840</v>
      </c>
      <c r="G13" s="73"/>
      <c r="H13" s="79">
        <v>2.75E-2</v>
      </c>
      <c r="I13" s="93"/>
      <c r="J13" s="86">
        <v>1</v>
      </c>
      <c r="K13" s="86">
        <f>F13/1000000-J13</f>
        <v>3.01884</v>
      </c>
      <c r="L13" s="86"/>
      <c r="M13" s="86"/>
      <c r="N13" s="86"/>
      <c r="O13" s="86"/>
      <c r="P13" s="87"/>
      <c r="Q13" s="24"/>
      <c r="R13" s="25"/>
      <c r="S13" s="26"/>
      <c r="T13" s="24"/>
      <c r="U13" s="27"/>
      <c r="V13" s="59" t="s">
        <v>58</v>
      </c>
      <c r="W13" s="132" t="s">
        <v>55</v>
      </c>
      <c r="X13" s="142" t="s">
        <v>71</v>
      </c>
    </row>
    <row r="14" spans="1:24" ht="58.5" customHeight="1" x14ac:dyDescent="0.2">
      <c r="A14" s="2"/>
      <c r="B14" s="31" t="s">
        <v>103</v>
      </c>
      <c r="C14" s="21">
        <v>4</v>
      </c>
      <c r="D14" s="22">
        <v>1.0995999999999999</v>
      </c>
      <c r="E14" s="22">
        <v>1</v>
      </c>
      <c r="F14" s="35">
        <f>1000000*D14/E14*C14</f>
        <v>4398400</v>
      </c>
      <c r="G14" s="73"/>
      <c r="H14" s="79">
        <v>4.4999999999999998E-2</v>
      </c>
      <c r="I14" s="95"/>
      <c r="J14" s="109">
        <v>1</v>
      </c>
      <c r="K14" s="109">
        <f>F14/1000000-J14</f>
        <v>3.3983999999999996</v>
      </c>
      <c r="L14" s="109"/>
      <c r="M14" s="109"/>
      <c r="N14" s="109"/>
      <c r="O14" s="109"/>
      <c r="P14" s="110"/>
      <c r="Q14" s="24"/>
      <c r="R14" s="25"/>
      <c r="S14" s="26"/>
      <c r="T14" s="24"/>
      <c r="U14" s="30"/>
      <c r="V14" s="59" t="s">
        <v>58</v>
      </c>
      <c r="W14" s="132" t="s">
        <v>53</v>
      </c>
      <c r="X14" s="142" t="s">
        <v>80</v>
      </c>
    </row>
    <row r="15" spans="1:24" ht="51" customHeight="1" x14ac:dyDescent="0.2">
      <c r="A15" s="2"/>
      <c r="B15" s="31" t="s">
        <v>104</v>
      </c>
      <c r="C15" s="21">
        <v>4</v>
      </c>
      <c r="D15" s="22">
        <v>1.0761000000000001</v>
      </c>
      <c r="E15" s="22">
        <v>1</v>
      </c>
      <c r="F15" s="35">
        <f>1000000*D15/E15*C15</f>
        <v>4304400</v>
      </c>
      <c r="G15" s="73"/>
      <c r="H15" s="79">
        <v>4.4999999999999998E-2</v>
      </c>
      <c r="I15" s="95"/>
      <c r="J15" s="109">
        <v>1</v>
      </c>
      <c r="K15" s="109">
        <f>F15/1000000-J15</f>
        <v>3.3044000000000002</v>
      </c>
      <c r="L15" s="109"/>
      <c r="M15" s="109"/>
      <c r="N15" s="109"/>
      <c r="O15" s="109"/>
      <c r="P15" s="110"/>
      <c r="Q15" s="24"/>
      <c r="R15" s="25"/>
      <c r="S15" s="26"/>
      <c r="T15" s="24"/>
      <c r="U15" s="30"/>
      <c r="V15" s="59" t="s">
        <v>58</v>
      </c>
      <c r="W15" s="132" t="s">
        <v>54</v>
      </c>
      <c r="X15" s="142" t="s">
        <v>80</v>
      </c>
    </row>
    <row r="16" spans="1:24" x14ac:dyDescent="0.2">
      <c r="A16" s="2"/>
      <c r="B16" s="20"/>
      <c r="C16" s="21"/>
      <c r="D16" s="22"/>
      <c r="E16" s="22"/>
      <c r="F16" s="23"/>
      <c r="G16" s="73"/>
      <c r="H16" s="79"/>
      <c r="I16" s="86"/>
      <c r="J16" s="86"/>
      <c r="K16" s="86"/>
      <c r="L16" s="86"/>
      <c r="M16" s="86"/>
      <c r="N16" s="86"/>
      <c r="O16" s="86"/>
      <c r="P16" s="87"/>
      <c r="Q16" s="40"/>
      <c r="R16" s="21"/>
      <c r="S16" s="26"/>
      <c r="T16" s="40"/>
      <c r="U16" s="21"/>
      <c r="V16" s="59"/>
      <c r="W16" s="131"/>
      <c r="X16" s="142"/>
    </row>
    <row r="17" spans="1:24" x14ac:dyDescent="0.2">
      <c r="A17" s="10" t="s">
        <v>0</v>
      </c>
      <c r="B17" s="20"/>
      <c r="C17" s="21"/>
      <c r="D17" s="22"/>
      <c r="E17" s="22"/>
      <c r="F17" s="23"/>
      <c r="G17" s="73"/>
      <c r="H17" s="79"/>
      <c r="I17" s="86"/>
      <c r="J17" s="86"/>
      <c r="K17" s="86"/>
      <c r="L17" s="86"/>
      <c r="M17" s="86"/>
      <c r="N17" s="86"/>
      <c r="O17" s="86"/>
      <c r="P17" s="87"/>
      <c r="Q17" s="40"/>
      <c r="R17" s="21"/>
      <c r="S17" s="26"/>
      <c r="T17" s="40"/>
      <c r="U17" s="21"/>
      <c r="V17" s="59"/>
      <c r="W17" s="131"/>
      <c r="X17" s="142"/>
    </row>
    <row r="18" spans="1:24" ht="45" x14ac:dyDescent="0.2">
      <c r="A18" s="2"/>
      <c r="B18" s="49" t="s">
        <v>20</v>
      </c>
      <c r="C18" s="50">
        <v>175000</v>
      </c>
      <c r="D18" s="34">
        <v>39.42</v>
      </c>
      <c r="E18" s="34">
        <v>1</v>
      </c>
      <c r="F18" s="35">
        <f>C18*D18/E18</f>
        <v>6898500</v>
      </c>
      <c r="G18" s="74"/>
      <c r="H18" s="79">
        <v>0</v>
      </c>
      <c r="I18" s="86">
        <v>5</v>
      </c>
      <c r="J18" s="86">
        <f>F18/1000000-I18</f>
        <v>1.8985000000000003</v>
      </c>
      <c r="K18" s="86"/>
      <c r="L18" s="86"/>
      <c r="M18" s="86"/>
      <c r="N18" s="86"/>
      <c r="O18" s="86"/>
      <c r="P18" s="87"/>
      <c r="Q18" s="36">
        <v>0</v>
      </c>
      <c r="R18" s="39">
        <v>0.22</v>
      </c>
      <c r="S18" s="38">
        <v>1</v>
      </c>
      <c r="T18" s="24">
        <v>4.2500000000000003E-2</v>
      </c>
      <c r="U18" s="27">
        <v>-0.15</v>
      </c>
      <c r="V18" s="59" t="s">
        <v>39</v>
      </c>
      <c r="W18" s="131"/>
      <c r="X18" s="142" t="s">
        <v>74</v>
      </c>
    </row>
    <row r="19" spans="1:24" ht="60" x14ac:dyDescent="0.2">
      <c r="A19" s="2"/>
      <c r="B19" s="49" t="s">
        <v>26</v>
      </c>
      <c r="C19" s="50">
        <v>470000</v>
      </c>
      <c r="D19" s="34">
        <v>24.94</v>
      </c>
      <c r="E19" s="34">
        <v>1.39</v>
      </c>
      <c r="F19" s="35">
        <f>C19*D19/E19</f>
        <v>8432949.64028777</v>
      </c>
      <c r="G19" s="74"/>
      <c r="H19" s="79">
        <v>1.4999999999999999E-2</v>
      </c>
      <c r="I19" s="86">
        <v>1</v>
      </c>
      <c r="J19" s="86">
        <f>2-I19</f>
        <v>1</v>
      </c>
      <c r="K19" s="86">
        <f>F19/1000000-I19-J19</f>
        <v>6.4329496402877702</v>
      </c>
      <c r="L19" s="86"/>
      <c r="M19" s="86"/>
      <c r="N19" s="86"/>
      <c r="O19" s="86"/>
      <c r="P19" s="87"/>
      <c r="Q19" s="36">
        <v>1.4999999999999999E-2</v>
      </c>
      <c r="R19" s="39">
        <v>0.12</v>
      </c>
      <c r="S19" s="38">
        <v>2</v>
      </c>
      <c r="T19" s="24">
        <v>2.5000000000000001E-2</v>
      </c>
      <c r="U19" s="30">
        <v>-7.4999999999999997E-2</v>
      </c>
      <c r="V19" s="59" t="s">
        <v>59</v>
      </c>
      <c r="W19" s="131"/>
      <c r="X19" s="142" t="s">
        <v>75</v>
      </c>
    </row>
    <row r="20" spans="1:24" ht="30" x14ac:dyDescent="0.2">
      <c r="A20" s="2"/>
      <c r="B20" s="49" t="s">
        <v>25</v>
      </c>
      <c r="C20" s="50">
        <v>175000</v>
      </c>
      <c r="D20" s="50">
        <v>6233</v>
      </c>
      <c r="E20" s="34">
        <v>120.36</v>
      </c>
      <c r="F20" s="35">
        <f>C20*D20/E20</f>
        <v>9062603.8551013619</v>
      </c>
      <c r="G20" s="74"/>
      <c r="H20" s="79">
        <v>2.5000000000000001E-2</v>
      </c>
      <c r="I20" s="94"/>
      <c r="J20" s="94"/>
      <c r="K20" s="111">
        <v>5</v>
      </c>
      <c r="L20" s="111">
        <f>F20/1000000-K20</f>
        <v>4.0626038551013615</v>
      </c>
      <c r="M20" s="111"/>
      <c r="N20" s="111"/>
      <c r="O20" s="111"/>
      <c r="P20" s="112"/>
      <c r="Q20" s="36">
        <v>2.5000000000000001E-2</v>
      </c>
      <c r="R20" s="39">
        <v>0.34</v>
      </c>
      <c r="S20" s="38">
        <v>4</v>
      </c>
      <c r="T20" s="28">
        <v>6.7500000000000004E-2</v>
      </c>
      <c r="U20" s="29">
        <v>-0.15</v>
      </c>
      <c r="V20" s="59" t="s">
        <v>32</v>
      </c>
      <c r="W20" s="136"/>
      <c r="X20" s="142" t="s">
        <v>81</v>
      </c>
    </row>
    <row r="21" spans="1:24" ht="45" x14ac:dyDescent="0.2">
      <c r="A21" s="2"/>
      <c r="B21" s="49" t="s">
        <v>24</v>
      </c>
      <c r="C21" s="50">
        <v>125000</v>
      </c>
      <c r="D21" s="34">
        <v>46.3</v>
      </c>
      <c r="E21" s="34">
        <v>1.0906</v>
      </c>
      <c r="F21" s="35">
        <f>C21*D21*E21</f>
        <v>6311847.5</v>
      </c>
      <c r="G21" s="74"/>
      <c r="H21" s="79">
        <v>2.5000000000000001E-3</v>
      </c>
      <c r="I21" s="94"/>
      <c r="J21" s="111">
        <v>5</v>
      </c>
      <c r="K21" s="111">
        <f>F21/1000000-J21</f>
        <v>1.3118474999999998</v>
      </c>
      <c r="L21" s="111"/>
      <c r="M21" s="111"/>
      <c r="N21" s="111"/>
      <c r="O21" s="111"/>
      <c r="P21" s="112"/>
      <c r="Q21" s="36">
        <v>2.5000000000000001E-3</v>
      </c>
      <c r="R21" s="39">
        <v>0.15</v>
      </c>
      <c r="S21" s="38">
        <v>2</v>
      </c>
      <c r="T21" s="24">
        <v>3.5000000000000003E-2</v>
      </c>
      <c r="U21" s="30">
        <v>-7.4999999999999997E-2</v>
      </c>
      <c r="V21" s="59" t="s">
        <v>94</v>
      </c>
      <c r="W21" s="136"/>
      <c r="X21" s="142" t="s">
        <v>82</v>
      </c>
    </row>
    <row r="22" spans="1:24" x14ac:dyDescent="0.2">
      <c r="A22" s="2"/>
      <c r="B22" s="49"/>
      <c r="C22" s="50"/>
      <c r="D22" s="34"/>
      <c r="E22" s="34"/>
      <c r="F22" s="35"/>
      <c r="G22" s="74"/>
      <c r="H22" s="79"/>
      <c r="I22" s="111"/>
      <c r="J22" s="111"/>
      <c r="K22" s="111"/>
      <c r="L22" s="111"/>
      <c r="M22" s="111"/>
      <c r="N22" s="111"/>
      <c r="O22" s="111"/>
      <c r="P22" s="112"/>
      <c r="Q22" s="36"/>
      <c r="R22" s="39"/>
      <c r="S22" s="38"/>
      <c r="T22" s="24"/>
      <c r="U22" s="30"/>
      <c r="V22" s="59"/>
      <c r="W22" s="136"/>
      <c r="X22" s="142"/>
    </row>
    <row r="23" spans="1:24" x14ac:dyDescent="0.2">
      <c r="A23" s="10" t="s">
        <v>1</v>
      </c>
      <c r="B23" s="20"/>
      <c r="C23" s="33"/>
      <c r="D23" s="22"/>
      <c r="E23" s="22"/>
      <c r="F23" s="23"/>
      <c r="G23" s="73"/>
      <c r="H23" s="79"/>
      <c r="I23" s="109"/>
      <c r="J23" s="109"/>
      <c r="K23" s="109"/>
      <c r="L23" s="109"/>
      <c r="M23" s="109"/>
      <c r="N23" s="109"/>
      <c r="O23" s="109"/>
      <c r="P23" s="110"/>
      <c r="Q23" s="40"/>
      <c r="R23" s="21"/>
      <c r="S23" s="26"/>
      <c r="T23" s="54" t="s">
        <v>19</v>
      </c>
      <c r="U23" s="21"/>
      <c r="V23" s="58"/>
      <c r="W23" s="136"/>
      <c r="X23" s="142"/>
    </row>
    <row r="24" spans="1:24" x14ac:dyDescent="0.2">
      <c r="A24" s="2"/>
      <c r="B24" s="41" t="s">
        <v>105</v>
      </c>
      <c r="C24" s="50">
        <v>3000000</v>
      </c>
      <c r="D24" s="22">
        <v>1.079</v>
      </c>
      <c r="E24" s="22">
        <v>1</v>
      </c>
      <c r="F24" s="23">
        <f>(D24-1.05)*-C24</f>
        <v>-86999.999999999738</v>
      </c>
      <c r="G24" s="73"/>
      <c r="H24" s="79" t="s">
        <v>17</v>
      </c>
      <c r="I24" s="109"/>
      <c r="J24" s="109"/>
      <c r="K24" s="109"/>
      <c r="L24" s="109"/>
      <c r="M24" s="109"/>
      <c r="N24" s="109"/>
      <c r="O24" s="109"/>
      <c r="P24" s="110"/>
      <c r="Q24" s="24">
        <v>5.0000000000000001E-3</v>
      </c>
      <c r="R24" s="25">
        <v>2.75E-2</v>
      </c>
      <c r="S24" s="26">
        <v>1</v>
      </c>
      <c r="T24" s="24">
        <v>1.2500000000000001E-2</v>
      </c>
      <c r="U24" s="27">
        <v>-0.05</v>
      </c>
      <c r="V24" s="59" t="s">
        <v>33</v>
      </c>
      <c r="W24" s="136"/>
      <c r="X24" s="142"/>
    </row>
    <row r="25" spans="1:24" x14ac:dyDescent="0.2">
      <c r="A25" s="2"/>
      <c r="B25" s="41" t="s">
        <v>106</v>
      </c>
      <c r="C25" s="50">
        <v>5000000</v>
      </c>
      <c r="D25" s="22">
        <v>1.3759999999999999</v>
      </c>
      <c r="E25" s="22">
        <v>1</v>
      </c>
      <c r="F25" s="23">
        <f>(D25-1.35)*-C25</f>
        <v>-129999.99999999901</v>
      </c>
      <c r="G25" s="73"/>
      <c r="H25" s="79" t="s">
        <v>17</v>
      </c>
      <c r="I25" s="109"/>
      <c r="J25" s="109"/>
      <c r="K25" s="109"/>
      <c r="L25" s="109"/>
      <c r="M25" s="109"/>
      <c r="N25" s="109"/>
      <c r="O25" s="109"/>
      <c r="P25" s="110"/>
      <c r="Q25" s="24">
        <v>2E-3</v>
      </c>
      <c r="R25" s="25">
        <v>1.7500000000000002E-2</v>
      </c>
      <c r="S25" s="26">
        <v>1</v>
      </c>
      <c r="T25" s="24">
        <v>1.2999999999999999E-2</v>
      </c>
      <c r="U25" s="27">
        <v>-0.05</v>
      </c>
      <c r="V25" s="59" t="s">
        <v>33</v>
      </c>
      <c r="W25" s="136"/>
      <c r="X25" s="142"/>
    </row>
    <row r="26" spans="1:24" ht="13.5" customHeight="1" x14ac:dyDescent="0.2">
      <c r="A26" s="2"/>
      <c r="B26" s="41"/>
      <c r="C26" s="21"/>
      <c r="D26" s="22"/>
      <c r="E26" s="22"/>
      <c r="F26" s="23"/>
      <c r="G26" s="73"/>
      <c r="H26" s="79"/>
      <c r="I26" s="109"/>
      <c r="J26" s="109"/>
      <c r="K26" s="109"/>
      <c r="L26" s="109"/>
      <c r="M26" s="109"/>
      <c r="N26" s="109"/>
      <c r="O26" s="109"/>
      <c r="P26" s="110"/>
      <c r="Q26" s="40"/>
      <c r="R26" s="21"/>
      <c r="S26" s="26"/>
      <c r="T26" s="40"/>
      <c r="U26" s="21"/>
      <c r="V26" s="58"/>
      <c r="W26" s="136"/>
      <c r="X26" s="142"/>
    </row>
    <row r="27" spans="1:24" x14ac:dyDescent="0.2">
      <c r="A27" s="10" t="s">
        <v>15</v>
      </c>
      <c r="B27" s="20"/>
      <c r="C27" s="21"/>
      <c r="D27" s="22"/>
      <c r="E27" s="22"/>
      <c r="F27" s="23"/>
      <c r="G27" s="73"/>
      <c r="H27" s="79"/>
      <c r="I27" s="109"/>
      <c r="J27" s="109"/>
      <c r="K27" s="109"/>
      <c r="L27" s="109"/>
      <c r="M27" s="109"/>
      <c r="N27" s="109"/>
      <c r="O27" s="109"/>
      <c r="P27" s="110"/>
      <c r="Q27" s="40"/>
      <c r="R27" s="21"/>
      <c r="S27" s="26"/>
      <c r="T27" s="54" t="s">
        <v>19</v>
      </c>
      <c r="U27" s="21"/>
      <c r="V27" s="58"/>
      <c r="W27" s="136"/>
      <c r="X27" s="142"/>
    </row>
    <row r="28" spans="1:24" ht="15.75" customHeight="1" x14ac:dyDescent="0.2">
      <c r="A28" s="2"/>
      <c r="B28" s="20" t="s">
        <v>107</v>
      </c>
      <c r="C28" s="33">
        <v>60</v>
      </c>
      <c r="D28" s="43">
        <f>1021.97</f>
        <v>1021.97</v>
      </c>
      <c r="E28" s="22">
        <v>1</v>
      </c>
      <c r="F28" s="23">
        <f>C28*D28*-E28</f>
        <v>-61318.200000000004</v>
      </c>
      <c r="G28" s="73"/>
      <c r="H28" s="79" t="s">
        <v>17</v>
      </c>
      <c r="I28" s="109"/>
      <c r="J28" s="109"/>
      <c r="K28" s="109"/>
      <c r="L28" s="109"/>
      <c r="M28" s="109"/>
      <c r="N28" s="109"/>
      <c r="O28" s="109"/>
      <c r="P28" s="110"/>
      <c r="Q28" s="40" t="s">
        <v>17</v>
      </c>
      <c r="R28" s="27">
        <v>0.66</v>
      </c>
      <c r="S28" s="26">
        <v>1</v>
      </c>
      <c r="T28" s="24">
        <v>8.3000000000000004E-2</v>
      </c>
      <c r="U28" s="27">
        <v>0.3</v>
      </c>
      <c r="V28" s="59" t="s">
        <v>34</v>
      </c>
      <c r="W28" s="136"/>
      <c r="X28" s="142"/>
    </row>
    <row r="29" spans="1:24" ht="18" customHeight="1" x14ac:dyDescent="0.2">
      <c r="A29" s="2"/>
      <c r="B29" s="20" t="s">
        <v>108</v>
      </c>
      <c r="C29" s="33">
        <v>150</v>
      </c>
      <c r="D29" s="22">
        <f>441.82</f>
        <v>441.82</v>
      </c>
      <c r="E29" s="22">
        <v>1.0906</v>
      </c>
      <c r="F29" s="23">
        <f>C29*D29*-E29</f>
        <v>-72277.333800000008</v>
      </c>
      <c r="G29" s="73"/>
      <c r="H29" s="79" t="s">
        <v>17</v>
      </c>
      <c r="I29" s="109"/>
      <c r="J29" s="109"/>
      <c r="K29" s="109"/>
      <c r="L29" s="109"/>
      <c r="M29" s="109"/>
      <c r="N29" s="109"/>
      <c r="O29" s="109"/>
      <c r="P29" s="110"/>
      <c r="Q29" s="40" t="s">
        <v>17</v>
      </c>
      <c r="R29" s="27">
        <v>0.28000000000000003</v>
      </c>
      <c r="S29" s="26">
        <v>1</v>
      </c>
      <c r="T29" s="24">
        <v>6.9500000000000006E-2</v>
      </c>
      <c r="U29" s="27">
        <v>0.25</v>
      </c>
      <c r="V29" s="59" t="s">
        <v>34</v>
      </c>
      <c r="W29" s="136"/>
      <c r="X29" s="142"/>
    </row>
    <row r="30" spans="1:24" ht="16.5" customHeight="1" x14ac:dyDescent="0.2">
      <c r="A30" s="2"/>
      <c r="B30" s="20" t="s">
        <v>109</v>
      </c>
      <c r="C30" s="33">
        <v>90</v>
      </c>
      <c r="D30" s="43">
        <v>72500</v>
      </c>
      <c r="E30" s="22">
        <v>120.36</v>
      </c>
      <c r="F30" s="23">
        <f>C30*-D30/E30</f>
        <v>-54212.362911266202</v>
      </c>
      <c r="G30" s="73"/>
      <c r="H30" s="79" t="s">
        <v>17</v>
      </c>
      <c r="I30" s="109"/>
      <c r="J30" s="109"/>
      <c r="K30" s="109"/>
      <c r="L30" s="109"/>
      <c r="M30" s="109"/>
      <c r="N30" s="109"/>
      <c r="O30" s="109"/>
      <c r="P30" s="110"/>
      <c r="Q30" s="40" t="s">
        <v>17</v>
      </c>
      <c r="R30" s="27">
        <v>0.32</v>
      </c>
      <c r="S30" s="26">
        <v>1</v>
      </c>
      <c r="T30" s="24">
        <v>5.7500000000000002E-2</v>
      </c>
      <c r="U30" s="27">
        <v>0.25</v>
      </c>
      <c r="V30" s="59" t="s">
        <v>34</v>
      </c>
      <c r="W30" s="136"/>
      <c r="X30" s="142"/>
    </row>
    <row r="31" spans="1:24" ht="16.5" customHeight="1" x14ac:dyDescent="0.2">
      <c r="A31" s="2"/>
      <c r="B31" s="20" t="s">
        <v>110</v>
      </c>
      <c r="C31" s="33">
        <v>125</v>
      </c>
      <c r="D31" s="22">
        <v>764.54</v>
      </c>
      <c r="E31" s="22">
        <v>1.39</v>
      </c>
      <c r="F31" s="23">
        <f>C31*-D31/E31</f>
        <v>-68753.597122302162</v>
      </c>
      <c r="G31" s="73"/>
      <c r="H31" s="79" t="s">
        <v>17</v>
      </c>
      <c r="I31" s="109"/>
      <c r="J31" s="109"/>
      <c r="K31" s="109"/>
      <c r="L31" s="109"/>
      <c r="M31" s="109"/>
      <c r="N31" s="109"/>
      <c r="O31" s="109"/>
      <c r="P31" s="110"/>
      <c r="Q31" s="40"/>
      <c r="R31" s="27"/>
      <c r="S31" s="26"/>
      <c r="T31" s="24"/>
      <c r="U31" s="27"/>
      <c r="V31" s="59" t="s">
        <v>34</v>
      </c>
      <c r="W31" s="136"/>
      <c r="X31" s="142"/>
    </row>
    <row r="32" spans="1:24" x14ac:dyDescent="0.2">
      <c r="A32" s="2"/>
      <c r="B32" s="20"/>
      <c r="C32" s="21"/>
      <c r="D32" s="22"/>
      <c r="E32" s="22"/>
      <c r="F32" s="23"/>
      <c r="G32" s="73"/>
      <c r="H32" s="79"/>
      <c r="I32" s="109"/>
      <c r="J32" s="109"/>
      <c r="K32" s="109"/>
      <c r="L32" s="109"/>
      <c r="M32" s="109"/>
      <c r="N32" s="109"/>
      <c r="O32" s="109"/>
      <c r="P32" s="110"/>
      <c r="Q32" s="40"/>
      <c r="R32" s="21"/>
      <c r="S32" s="26"/>
      <c r="T32" s="40"/>
      <c r="U32" s="21"/>
      <c r="V32" s="58"/>
      <c r="W32" s="136"/>
      <c r="X32" s="142"/>
    </row>
    <row r="33" spans="1:24" ht="15.75" customHeight="1" x14ac:dyDescent="0.2">
      <c r="A33" s="10" t="s">
        <v>22</v>
      </c>
      <c r="B33" s="20"/>
      <c r="C33" s="33"/>
      <c r="D33" s="22"/>
      <c r="E33" s="22"/>
      <c r="F33" s="23"/>
      <c r="G33" s="73"/>
      <c r="H33" s="79"/>
      <c r="I33" s="86"/>
      <c r="J33" s="86"/>
      <c r="K33" s="86"/>
      <c r="L33" s="86"/>
      <c r="M33" s="86"/>
      <c r="N33" s="86"/>
      <c r="O33" s="86"/>
      <c r="P33" s="87"/>
      <c r="Q33" s="40"/>
      <c r="R33" s="27"/>
      <c r="S33" s="26"/>
      <c r="T33" s="24"/>
      <c r="U33" s="27"/>
      <c r="V33" s="58"/>
      <c r="W33" s="131"/>
      <c r="X33" s="142"/>
    </row>
    <row r="34" spans="1:24" ht="33" customHeight="1" x14ac:dyDescent="0.2">
      <c r="A34" s="61"/>
      <c r="B34" s="31" t="s">
        <v>27</v>
      </c>
      <c r="C34" s="34">
        <v>0.3</v>
      </c>
      <c r="D34" s="42">
        <v>30000000</v>
      </c>
      <c r="E34" s="22">
        <v>1</v>
      </c>
      <c r="F34" s="23">
        <f>D34*C34</f>
        <v>9000000</v>
      </c>
      <c r="G34" s="73"/>
      <c r="H34" s="79">
        <v>4.7500000000000001E-2</v>
      </c>
      <c r="I34" s="93"/>
      <c r="J34" s="93"/>
      <c r="K34" s="93"/>
      <c r="L34" s="93"/>
      <c r="M34" s="93"/>
      <c r="N34" s="93"/>
      <c r="O34" s="86">
        <f>F34/1000000</f>
        <v>9</v>
      </c>
      <c r="P34" s="87"/>
      <c r="Q34" s="40"/>
      <c r="R34" s="27"/>
      <c r="S34" s="26"/>
      <c r="T34" s="24"/>
      <c r="U34" s="27"/>
      <c r="V34" s="59" t="s">
        <v>35</v>
      </c>
      <c r="W34" s="132" t="s">
        <v>62</v>
      </c>
      <c r="X34" s="142" t="s">
        <v>76</v>
      </c>
    </row>
    <row r="35" spans="1:24" ht="33" customHeight="1" x14ac:dyDescent="0.2">
      <c r="A35" s="61"/>
      <c r="B35" s="31" t="s">
        <v>28</v>
      </c>
      <c r="C35" s="34">
        <f>F35/D35</f>
        <v>0.1111111111111111</v>
      </c>
      <c r="D35" s="42">
        <v>45000000</v>
      </c>
      <c r="E35" s="22">
        <v>1</v>
      </c>
      <c r="F35" s="23">
        <v>5000000</v>
      </c>
      <c r="G35" s="73"/>
      <c r="H35" s="79">
        <v>5.2499999999999998E-2</v>
      </c>
      <c r="I35" s="95"/>
      <c r="J35" s="95"/>
      <c r="K35" s="95"/>
      <c r="L35" s="95"/>
      <c r="M35" s="95"/>
      <c r="N35" s="95"/>
      <c r="O35" s="109">
        <f>F35/1000000</f>
        <v>5</v>
      </c>
      <c r="P35" s="110"/>
      <c r="Q35" s="40"/>
      <c r="R35" s="27"/>
      <c r="S35" s="26"/>
      <c r="T35" s="24"/>
      <c r="U35" s="27"/>
      <c r="V35" s="59" t="s">
        <v>67</v>
      </c>
      <c r="W35" s="132" t="s">
        <v>63</v>
      </c>
      <c r="X35" s="142" t="s">
        <v>83</v>
      </c>
    </row>
    <row r="36" spans="1:24" ht="33" customHeight="1" x14ac:dyDescent="0.2">
      <c r="A36" s="61"/>
      <c r="B36" s="31" t="s">
        <v>37</v>
      </c>
      <c r="C36" s="34">
        <f>F36/D36</f>
        <v>6.6666666666666666E-2</v>
      </c>
      <c r="D36" s="42">
        <v>75000000</v>
      </c>
      <c r="E36" s="22">
        <v>1</v>
      </c>
      <c r="F36" s="23">
        <v>5000000</v>
      </c>
      <c r="G36" s="73"/>
      <c r="H36" s="79">
        <v>5.8500000000000003E-2</v>
      </c>
      <c r="I36" s="95"/>
      <c r="J36" s="95"/>
      <c r="K36" s="95"/>
      <c r="L36" s="95"/>
      <c r="M36" s="95"/>
      <c r="N36" s="95"/>
      <c r="O36" s="109">
        <f>F36/1000000</f>
        <v>5</v>
      </c>
      <c r="P36" s="110"/>
      <c r="Q36" s="40"/>
      <c r="R36" s="27"/>
      <c r="S36" s="26"/>
      <c r="T36" s="24"/>
      <c r="U36" s="27"/>
      <c r="V36" s="59" t="s">
        <v>67</v>
      </c>
      <c r="W36" s="132" t="s">
        <v>63</v>
      </c>
      <c r="X36" s="142" t="s">
        <v>84</v>
      </c>
    </row>
    <row r="37" spans="1:24" ht="14.25" customHeight="1" x14ac:dyDescent="0.2">
      <c r="A37" s="2"/>
      <c r="B37" s="31"/>
      <c r="C37" s="33"/>
      <c r="D37" s="22"/>
      <c r="E37" s="22"/>
      <c r="F37" s="23"/>
      <c r="G37" s="73"/>
      <c r="H37" s="79"/>
      <c r="I37" s="86"/>
      <c r="J37" s="86"/>
      <c r="K37" s="86"/>
      <c r="L37" s="86"/>
      <c r="M37" s="86"/>
      <c r="N37" s="86"/>
      <c r="O37" s="86"/>
      <c r="P37" s="87"/>
      <c r="Q37" s="40"/>
      <c r="R37" s="27"/>
      <c r="S37" s="26"/>
      <c r="T37" s="24"/>
      <c r="U37" s="27"/>
      <c r="V37" s="58"/>
      <c r="W37" s="131"/>
      <c r="X37" s="142"/>
    </row>
    <row r="38" spans="1:24" ht="17.25" customHeight="1" x14ac:dyDescent="0.2">
      <c r="A38" s="10" t="s">
        <v>23</v>
      </c>
      <c r="B38" s="31"/>
      <c r="C38" s="33"/>
      <c r="D38" s="22"/>
      <c r="E38" s="22"/>
      <c r="F38" s="23"/>
      <c r="G38" s="73"/>
      <c r="H38" s="79"/>
      <c r="I38" s="86"/>
      <c r="J38" s="86"/>
      <c r="K38" s="86"/>
      <c r="L38" s="86"/>
      <c r="M38" s="86"/>
      <c r="N38" s="86"/>
      <c r="O38" s="86"/>
      <c r="P38" s="87"/>
      <c r="Q38" s="40"/>
      <c r="R38" s="27"/>
      <c r="S38" s="26"/>
      <c r="T38" s="24"/>
      <c r="U38" s="27"/>
      <c r="V38" s="58"/>
      <c r="W38" s="131"/>
      <c r="X38" s="142"/>
    </row>
    <row r="39" spans="1:24" ht="20.25" customHeight="1" x14ac:dyDescent="0.2">
      <c r="A39" s="2"/>
      <c r="B39" s="31" t="s">
        <v>29</v>
      </c>
      <c r="C39" s="50">
        <v>5000000</v>
      </c>
      <c r="D39" s="22">
        <v>0.95</v>
      </c>
      <c r="E39" s="22">
        <v>1</v>
      </c>
      <c r="F39" s="23">
        <f t="shared" ref="F39" si="0">D39*C39</f>
        <v>4750000</v>
      </c>
      <c r="G39" s="73"/>
      <c r="H39" s="79">
        <v>3.7499999999999999E-2</v>
      </c>
      <c r="I39" s="93"/>
      <c r="J39" s="93"/>
      <c r="K39" s="93"/>
      <c r="L39" s="93"/>
      <c r="M39" s="93"/>
      <c r="N39" s="86">
        <f>F39/1000000</f>
        <v>4.75</v>
      </c>
      <c r="O39" s="86"/>
      <c r="P39" s="87"/>
      <c r="Q39" s="40"/>
      <c r="R39" s="27"/>
      <c r="S39" s="26"/>
      <c r="T39" s="24"/>
      <c r="U39" s="27"/>
      <c r="V39" s="59" t="s">
        <v>95</v>
      </c>
      <c r="W39" s="131"/>
      <c r="X39" s="142" t="s">
        <v>72</v>
      </c>
    </row>
    <row r="40" spans="1:24" ht="23.25" customHeight="1" x14ac:dyDescent="0.2">
      <c r="A40" s="2"/>
      <c r="B40" s="31" t="s">
        <v>45</v>
      </c>
      <c r="C40" s="50">
        <v>3000000</v>
      </c>
      <c r="D40" s="22">
        <v>1.02</v>
      </c>
      <c r="E40" s="22">
        <v>1</v>
      </c>
      <c r="F40" s="23">
        <f>D40*C40</f>
        <v>3060000</v>
      </c>
      <c r="G40" s="73"/>
      <c r="H40" s="79">
        <v>5.8000000000000003E-2</v>
      </c>
      <c r="I40" s="95"/>
      <c r="J40" s="95"/>
      <c r="K40" s="95"/>
      <c r="L40" s="95"/>
      <c r="M40" s="95"/>
      <c r="N40" s="95"/>
      <c r="O40" s="109">
        <f t="shared" ref="O40:O41" si="1">F40/1000000</f>
        <v>3.06</v>
      </c>
      <c r="P40" s="110"/>
      <c r="Q40" s="40"/>
      <c r="R40" s="27"/>
      <c r="S40" s="26"/>
      <c r="T40" s="24"/>
      <c r="U40" s="27"/>
      <c r="V40" s="59" t="s">
        <v>96</v>
      </c>
      <c r="W40" s="136"/>
      <c r="X40" s="142" t="s">
        <v>85</v>
      </c>
    </row>
    <row r="41" spans="1:24" ht="26.25" customHeight="1" x14ac:dyDescent="0.2">
      <c r="A41" s="2"/>
      <c r="B41" s="31" t="s">
        <v>46</v>
      </c>
      <c r="C41" s="50">
        <v>2000000</v>
      </c>
      <c r="D41" s="22">
        <v>1</v>
      </c>
      <c r="E41" s="22">
        <v>1</v>
      </c>
      <c r="F41" s="23">
        <f>D41*C41</f>
        <v>2000000</v>
      </c>
      <c r="G41" s="73"/>
      <c r="H41" s="79">
        <v>4.9500000000000002E-2</v>
      </c>
      <c r="I41" s="95"/>
      <c r="J41" s="95"/>
      <c r="K41" s="95"/>
      <c r="L41" s="95"/>
      <c r="M41" s="95"/>
      <c r="N41" s="95"/>
      <c r="O41" s="109">
        <f t="shared" si="1"/>
        <v>2</v>
      </c>
      <c r="P41" s="110"/>
      <c r="Q41" s="40"/>
      <c r="R41" s="27"/>
      <c r="S41" s="26"/>
      <c r="T41" s="24"/>
      <c r="U41" s="27"/>
      <c r="V41" s="59" t="s">
        <v>36</v>
      </c>
      <c r="W41" s="136"/>
      <c r="X41" s="142" t="s">
        <v>86</v>
      </c>
    </row>
    <row r="42" spans="1:24" x14ac:dyDescent="0.2">
      <c r="A42" s="3"/>
      <c r="B42" s="56"/>
      <c r="C42" s="44"/>
      <c r="D42" s="45"/>
      <c r="E42" s="45"/>
      <c r="F42" s="46"/>
      <c r="G42" s="71"/>
      <c r="H42" s="80"/>
      <c r="I42" s="88"/>
      <c r="J42" s="88"/>
      <c r="K42" s="88"/>
      <c r="L42" s="88"/>
      <c r="M42" s="88"/>
      <c r="N42" s="88"/>
      <c r="O42" s="88"/>
      <c r="P42" s="89"/>
      <c r="Q42" s="47"/>
      <c r="R42" s="44"/>
      <c r="S42" s="48"/>
      <c r="T42" s="47"/>
      <c r="U42" s="44"/>
      <c r="V42" s="60"/>
      <c r="W42" s="133"/>
      <c r="X42" s="142"/>
    </row>
    <row r="43" spans="1:24" x14ac:dyDescent="0.2">
      <c r="H43" s="66"/>
      <c r="I43" s="66"/>
      <c r="J43" s="66"/>
      <c r="K43" s="66"/>
      <c r="L43" s="66"/>
      <c r="M43" s="66"/>
      <c r="N43" s="66"/>
      <c r="O43" s="66"/>
      <c r="P43" s="66"/>
      <c r="X43" s="142"/>
    </row>
    <row r="44" spans="1:24" x14ac:dyDescent="0.2">
      <c r="A44" s="64"/>
      <c r="B44" s="63"/>
      <c r="C44" s="8" t="s">
        <v>13</v>
      </c>
      <c r="D44" s="8"/>
      <c r="E44" s="8"/>
      <c r="F44" s="52">
        <f>SUM(F7:F42)</f>
        <v>100083294.00403038</v>
      </c>
      <c r="H44" s="99">
        <f>SUM(F8*H8+F9*H9+F13*H13+F10*H10+F11*H11+F12*H12+F14*H14+F15*H15+F18*H18+F19*H19+F20*H20+F21*H21+F34*H34+F35*H35+F36*H36+F39*H39+F40*H40+F41*H41)/F44</f>
        <v>3.1730002274711157E-2</v>
      </c>
      <c r="I44" s="90">
        <f t="shared" ref="I44:P44" si="2">SUM(I6:I42)</f>
        <v>15.341227596</v>
      </c>
      <c r="J44" s="90">
        <f t="shared" si="2"/>
        <v>18.788699999999999</v>
      </c>
      <c r="K44" s="90">
        <f t="shared" si="2"/>
        <v>28.70432404676259</v>
      </c>
      <c r="L44" s="90">
        <f t="shared" si="2"/>
        <v>6.0626038551013615</v>
      </c>
      <c r="M44" s="90">
        <f t="shared" si="2"/>
        <v>2.8499999999999996</v>
      </c>
      <c r="N44" s="90">
        <f t="shared" si="2"/>
        <v>4.75</v>
      </c>
      <c r="O44" s="90">
        <f t="shared" si="2"/>
        <v>24.06</v>
      </c>
      <c r="P44" s="90">
        <f t="shared" si="2"/>
        <v>0</v>
      </c>
      <c r="S44" s="8" t="s">
        <v>13</v>
      </c>
      <c r="T44" s="53" t="e">
        <f>SUM(F8*T8,F9*T9,F12*T12,F18*T18,F19*T19,#REF!*#REF!,-C24*R24,-F28*T28,-F29*T29,-F30*T30)*85%</f>
        <v>#REF!</v>
      </c>
      <c r="U44" s="53" t="e">
        <f>SUM(F8*U8,F9*U9,F12*U12,F18*U18,F19*U19,#REF!*#REF!,C24*U24,F28*U28,F29*U29,F30*U30)</f>
        <v>#REF!</v>
      </c>
      <c r="V44" s="144">
        <f>SUM(I44:P44)</f>
        <v>100.55685549786395</v>
      </c>
      <c r="X44" s="142"/>
    </row>
    <row r="45" spans="1:24" x14ac:dyDescent="0.2">
      <c r="A45" s="64"/>
      <c r="B45" s="62"/>
      <c r="H45" s="128" t="s">
        <v>60</v>
      </c>
      <c r="R45" s="51"/>
      <c r="T45" s="55" t="s">
        <v>18</v>
      </c>
      <c r="X45" s="142"/>
    </row>
    <row r="46" spans="1:24" x14ac:dyDescent="0.2">
      <c r="A46" s="1"/>
      <c r="B46" s="19"/>
      <c r="E46" s="75"/>
      <c r="F46" s="91" t="s">
        <v>38</v>
      </c>
      <c r="G46" s="91"/>
      <c r="H46" s="91"/>
      <c r="I46" s="68">
        <f>I44*1000000/$F$44</f>
        <v>0.15328459907986447</v>
      </c>
      <c r="J46" s="68">
        <f>SUM(I44:J44)*1000000/$F$44</f>
        <v>0.34101523071997991</v>
      </c>
      <c r="K46" s="68">
        <f>SUM(I44:K44)*1000000/$F$44</f>
        <v>0.62781958036105656</v>
      </c>
      <c r="L46" s="68">
        <f>SUM(I44:L44)*1000000/$F$44</f>
        <v>0.68839516308375559</v>
      </c>
      <c r="M46" s="68">
        <f>SUM(I44:M44)*1000000/$F$44</f>
        <v>0.7168714440491406</v>
      </c>
      <c r="N46" s="68">
        <f>SUM(I44:N44)*1000000/$F$44</f>
        <v>0.76433191232478226</v>
      </c>
      <c r="O46" s="68">
        <f>SUM(I44:O44)*1000000/$F$44</f>
        <v>1.0047316737378218</v>
      </c>
      <c r="P46" s="68">
        <f>SUM(I44:P44)*1000000/$F$44</f>
        <v>1.0047316737378218</v>
      </c>
      <c r="X46" s="142"/>
    </row>
    <row r="47" spans="1:24" hidden="1" x14ac:dyDescent="0.2">
      <c r="A47" s="100"/>
      <c r="B47" s="101"/>
      <c r="C47" s="102"/>
      <c r="D47" s="102"/>
      <c r="E47" s="103"/>
      <c r="F47" s="104"/>
      <c r="G47" s="104"/>
      <c r="H47" s="104"/>
      <c r="I47" s="105"/>
      <c r="J47" s="105"/>
      <c r="K47" s="105"/>
      <c r="L47" s="105"/>
      <c r="M47" s="105"/>
      <c r="N47" s="105"/>
      <c r="O47" s="105"/>
      <c r="P47" s="105"/>
      <c r="Q47" s="102"/>
      <c r="R47" s="102"/>
      <c r="S47" s="102"/>
      <c r="T47" s="102"/>
      <c r="U47" s="102"/>
      <c r="V47" s="102"/>
      <c r="W47" s="102"/>
      <c r="X47" s="142"/>
    </row>
    <row r="48" spans="1:24" hidden="1" x14ac:dyDescent="0.2">
      <c r="B48" s="8"/>
      <c r="H48" s="66"/>
      <c r="X48" s="142"/>
    </row>
    <row r="49" spans="1:24" hidden="1" x14ac:dyDescent="0.2">
      <c r="B49" s="70" t="s">
        <v>44</v>
      </c>
      <c r="H49" s="66"/>
      <c r="J49" s="65" t="s">
        <v>43</v>
      </c>
      <c r="X49" s="142"/>
    </row>
    <row r="50" spans="1:24" hidden="1" x14ac:dyDescent="0.2">
      <c r="A50" s="153"/>
      <c r="B50" s="154"/>
      <c r="C50" s="154"/>
      <c r="D50" s="155">
        <v>42460</v>
      </c>
      <c r="E50" s="156"/>
      <c r="F50" s="157"/>
      <c r="G50" s="71"/>
      <c r="H50" s="76" t="s">
        <v>10</v>
      </c>
      <c r="I50" s="158" t="s">
        <v>21</v>
      </c>
      <c r="J50" s="158"/>
      <c r="K50" s="158"/>
      <c r="L50" s="158"/>
      <c r="M50" s="158"/>
      <c r="N50" s="158"/>
      <c r="O50" s="158"/>
      <c r="P50" s="159"/>
      <c r="Q50" s="160" t="s">
        <v>10</v>
      </c>
      <c r="R50" s="161"/>
      <c r="S50" s="162"/>
      <c r="T50" s="160" t="s">
        <v>11</v>
      </c>
      <c r="U50" s="162"/>
      <c r="V50" s="4"/>
      <c r="W50" s="134"/>
      <c r="X50" s="142"/>
    </row>
    <row r="51" spans="1:24" ht="16" hidden="1" x14ac:dyDescent="0.2">
      <c r="A51" s="163" t="s">
        <v>6</v>
      </c>
      <c r="B51" s="164"/>
      <c r="C51" s="6" t="s">
        <v>2</v>
      </c>
      <c r="D51" s="97" t="s">
        <v>3</v>
      </c>
      <c r="E51" s="6" t="s">
        <v>5</v>
      </c>
      <c r="F51" s="5" t="s">
        <v>16</v>
      </c>
      <c r="G51" s="71"/>
      <c r="H51" s="77" t="s">
        <v>7</v>
      </c>
      <c r="I51" s="6">
        <v>1</v>
      </c>
      <c r="J51" s="6">
        <v>2</v>
      </c>
      <c r="K51" s="6">
        <v>5</v>
      </c>
      <c r="L51" s="6">
        <v>10</v>
      </c>
      <c r="M51" s="6">
        <v>30</v>
      </c>
      <c r="N51" s="6">
        <v>60</v>
      </c>
      <c r="O51" s="6">
        <v>180</v>
      </c>
      <c r="P51" s="5">
        <v>360</v>
      </c>
      <c r="Q51" s="97" t="s">
        <v>7</v>
      </c>
      <c r="R51" s="6" t="s">
        <v>12</v>
      </c>
      <c r="S51" s="5" t="s">
        <v>8</v>
      </c>
      <c r="T51" s="97" t="s">
        <v>4</v>
      </c>
      <c r="U51" s="5" t="s">
        <v>9</v>
      </c>
      <c r="V51" s="7" t="s">
        <v>30</v>
      </c>
      <c r="W51" s="135" t="s">
        <v>41</v>
      </c>
      <c r="X51" s="142"/>
    </row>
    <row r="52" spans="1:24" hidden="1" x14ac:dyDescent="0.2">
      <c r="A52" s="9"/>
      <c r="B52" s="11"/>
      <c r="C52" s="13"/>
      <c r="D52" s="113"/>
      <c r="E52" s="113"/>
      <c r="F52" s="114"/>
      <c r="G52" s="71"/>
      <c r="H52" s="117"/>
      <c r="I52" s="118"/>
      <c r="J52" s="118"/>
      <c r="K52" s="118"/>
      <c r="L52" s="118"/>
      <c r="M52" s="118"/>
      <c r="N52" s="118"/>
      <c r="O52" s="118"/>
      <c r="P52" s="107"/>
      <c r="Q52" s="119"/>
      <c r="R52" s="13"/>
      <c r="S52" s="96"/>
      <c r="T52" s="119"/>
      <c r="U52" s="13"/>
      <c r="V52" s="120"/>
      <c r="W52" s="134"/>
      <c r="X52" s="142"/>
    </row>
    <row r="53" spans="1:24" hidden="1" x14ac:dyDescent="0.2">
      <c r="A53" s="10" t="s">
        <v>14</v>
      </c>
      <c r="B53" s="67"/>
      <c r="C53" s="14"/>
      <c r="D53" s="16"/>
      <c r="E53" s="16"/>
      <c r="F53" s="15"/>
      <c r="G53" s="72"/>
      <c r="H53" s="78"/>
      <c r="I53" s="106"/>
      <c r="J53" s="106"/>
      <c r="K53" s="106"/>
      <c r="L53" s="106"/>
      <c r="M53" s="106"/>
      <c r="N53" s="106"/>
      <c r="O53" s="106"/>
      <c r="P53" s="108"/>
      <c r="Q53" s="17"/>
      <c r="R53" s="14"/>
      <c r="S53" s="18"/>
      <c r="T53" s="17"/>
      <c r="U53" s="14"/>
      <c r="V53" s="58"/>
      <c r="W53" s="136"/>
      <c r="X53" s="142"/>
    </row>
    <row r="54" spans="1:24" hidden="1" x14ac:dyDescent="0.2">
      <c r="A54" s="2"/>
      <c r="B54" s="31"/>
      <c r="C54" s="33"/>
      <c r="D54" s="22"/>
      <c r="E54" s="22"/>
      <c r="F54" s="23"/>
      <c r="G54" s="73"/>
      <c r="H54" s="79"/>
      <c r="I54" s="109"/>
      <c r="J54" s="109"/>
      <c r="K54" s="109"/>
      <c r="L54" s="109"/>
      <c r="M54" s="109"/>
      <c r="N54" s="109"/>
      <c r="O54" s="109"/>
      <c r="P54" s="110"/>
      <c r="Q54" s="24"/>
      <c r="R54" s="25"/>
      <c r="S54" s="26"/>
      <c r="T54" s="24"/>
      <c r="U54" s="27"/>
      <c r="V54" s="59"/>
      <c r="W54" s="136"/>
      <c r="X54" s="142"/>
    </row>
    <row r="55" spans="1:24" hidden="1" x14ac:dyDescent="0.2">
      <c r="A55" s="10" t="s">
        <v>0</v>
      </c>
      <c r="B55" s="20"/>
      <c r="C55" s="21"/>
      <c r="D55" s="22"/>
      <c r="E55" s="22"/>
      <c r="F55" s="23"/>
      <c r="G55" s="73"/>
      <c r="H55" s="79"/>
      <c r="I55" s="109"/>
      <c r="J55" s="109"/>
      <c r="K55" s="109"/>
      <c r="L55" s="109"/>
      <c r="M55" s="109"/>
      <c r="N55" s="109"/>
      <c r="O55" s="109"/>
      <c r="P55" s="110"/>
      <c r="Q55" s="40"/>
      <c r="R55" s="21"/>
      <c r="S55" s="26"/>
      <c r="T55" s="40"/>
      <c r="U55" s="21"/>
      <c r="V55" s="59"/>
      <c r="W55" s="136"/>
      <c r="X55" s="142"/>
    </row>
    <row r="56" spans="1:24" hidden="1" x14ac:dyDescent="0.2">
      <c r="A56" s="10" t="s">
        <v>22</v>
      </c>
      <c r="B56" s="49"/>
      <c r="C56" s="50"/>
      <c r="D56" s="34"/>
      <c r="E56" s="34"/>
      <c r="F56" s="35"/>
      <c r="G56" s="74"/>
      <c r="H56" s="79"/>
      <c r="I56" s="111"/>
      <c r="J56" s="111"/>
      <c r="K56" s="111"/>
      <c r="L56" s="111"/>
      <c r="M56" s="111"/>
      <c r="N56" s="111"/>
      <c r="O56" s="111"/>
      <c r="P56" s="112"/>
      <c r="Q56" s="36"/>
      <c r="R56" s="39"/>
      <c r="S56" s="38"/>
      <c r="T56" s="24"/>
      <c r="U56" s="30"/>
      <c r="V56" s="59"/>
      <c r="W56" s="136"/>
      <c r="X56" s="142"/>
    </row>
    <row r="57" spans="1:24" hidden="1" x14ac:dyDescent="0.2">
      <c r="A57" s="2"/>
      <c r="B57" s="67"/>
      <c r="C57" s="33"/>
      <c r="D57" s="22"/>
      <c r="E57" s="22"/>
      <c r="F57" s="115"/>
      <c r="G57" s="73"/>
      <c r="H57" s="79"/>
      <c r="I57" s="109"/>
      <c r="J57" s="109"/>
      <c r="K57" s="109"/>
      <c r="L57" s="109"/>
      <c r="M57" s="109"/>
      <c r="N57" s="109"/>
      <c r="O57" s="109"/>
      <c r="P57" s="110"/>
      <c r="Q57" s="40"/>
      <c r="R57" s="27"/>
      <c r="S57" s="26"/>
      <c r="T57" s="24"/>
      <c r="U57" s="27"/>
      <c r="V57" s="58"/>
      <c r="W57" s="136"/>
      <c r="X57" s="142"/>
    </row>
    <row r="58" spans="1:24" hidden="1" x14ac:dyDescent="0.2">
      <c r="A58" s="10" t="s">
        <v>23</v>
      </c>
      <c r="B58" s="31"/>
      <c r="C58" s="33"/>
      <c r="D58" s="22"/>
      <c r="E58" s="22"/>
      <c r="F58" s="23"/>
      <c r="G58" s="73"/>
      <c r="H58" s="79"/>
      <c r="I58" s="109"/>
      <c r="J58" s="109"/>
      <c r="K58" s="109"/>
      <c r="L58" s="109"/>
      <c r="M58" s="109"/>
      <c r="N58" s="109"/>
      <c r="O58" s="109"/>
      <c r="P58" s="110"/>
      <c r="Q58" s="40"/>
      <c r="R58" s="27"/>
      <c r="S58" s="26"/>
      <c r="T58" s="24"/>
      <c r="U58" s="27"/>
      <c r="V58" s="58"/>
      <c r="W58" s="136"/>
      <c r="X58" s="142"/>
    </row>
    <row r="59" spans="1:24" hidden="1" x14ac:dyDescent="0.2">
      <c r="A59" s="3"/>
      <c r="B59" s="56"/>
      <c r="C59" s="116"/>
      <c r="D59" s="45"/>
      <c r="E59" s="45"/>
      <c r="F59" s="46"/>
      <c r="G59" s="73"/>
      <c r="H59" s="80"/>
      <c r="I59" s="121"/>
      <c r="J59" s="121"/>
      <c r="K59" s="121"/>
      <c r="L59" s="121"/>
      <c r="M59" s="121"/>
      <c r="N59" s="121"/>
      <c r="O59" s="121"/>
      <c r="P59" s="122"/>
      <c r="Q59" s="47"/>
      <c r="R59" s="123"/>
      <c r="S59" s="48"/>
      <c r="T59" s="124"/>
      <c r="U59" s="123"/>
      <c r="V59" s="125"/>
      <c r="W59" s="137"/>
      <c r="X59" s="143"/>
    </row>
    <row r="60" spans="1:24" hidden="1" x14ac:dyDescent="0.2"/>
    <row r="61" spans="1:24" hidden="1" x14ac:dyDescent="0.2">
      <c r="C61" s="8" t="s">
        <v>13</v>
      </c>
      <c r="D61" s="8"/>
      <c r="E61" s="8"/>
      <c r="F61" s="52">
        <f>SUM(F44,F10:F60)</f>
        <v>290837134.41609108</v>
      </c>
      <c r="H61" s="99">
        <f>SUM(F8*H8+F9*H9+F13*H13+F18*H18+F19*H19+F34*H34+F39*H39+F10*H10+F11*H11+F12*H12+F14*H14+F15*H15+F20*H20+F21*H21+F35*H35+F36*H36+F40*H40+F41*H41)/F61</f>
        <v>1.0918974128885416E-2</v>
      </c>
      <c r="I61" s="90">
        <f t="shared" ref="I61:P61" si="3">SUM(I10:I58,I44)</f>
        <v>42.83573979107986</v>
      </c>
      <c r="J61" s="90">
        <f t="shared" si="3"/>
        <v>54.707115230719978</v>
      </c>
      <c r="K61" s="90">
        <f t="shared" si="3"/>
        <v>90.669271720648823</v>
      </c>
      <c r="L61" s="90">
        <f t="shared" si="3"/>
        <v>28.876206728387839</v>
      </c>
      <c r="M61" s="90">
        <f t="shared" si="3"/>
        <v>39.266871444049144</v>
      </c>
      <c r="N61" s="90">
        <f t="shared" si="3"/>
        <v>75.014331912324778</v>
      </c>
      <c r="O61" s="90">
        <f t="shared" si="3"/>
        <v>253.18473167373782</v>
      </c>
      <c r="P61" s="90">
        <f t="shared" si="3"/>
        <v>361.00473167373781</v>
      </c>
      <c r="S61" s="8" t="s">
        <v>13</v>
      </c>
      <c r="T61" s="53" t="e">
        <f>SUM(F26*T26,F27*T27,F76*T76,F31*T31,F32*T32,#REF!*#REF!,-C85*R85,-F89*T89,-F90*T90,-F91*T91)*85%</f>
        <v>#VALUE!</v>
      </c>
      <c r="U61" s="53" t="e">
        <f>SUM(F26*U26,F27*U27,F76*U76,F31*U31,F32*U32,#REF!*#REF!,C85*U85,F89*U89,F90*U90,F91*U91)</f>
        <v>#REF!</v>
      </c>
      <c r="V61" s="57"/>
      <c r="W61" s="129">
        <f>F61-SUM(F24:F31)</f>
        <v>291310695.90992463</v>
      </c>
    </row>
    <row r="62" spans="1:24" hidden="1" x14ac:dyDescent="0.2">
      <c r="H62" s="128" t="s">
        <v>69</v>
      </c>
      <c r="R62" s="51"/>
      <c r="T62" s="55" t="s">
        <v>18</v>
      </c>
    </row>
    <row r="63" spans="1:24" hidden="1" x14ac:dyDescent="0.2">
      <c r="E63" s="75"/>
      <c r="F63" s="91" t="s">
        <v>65</v>
      </c>
      <c r="G63" s="91"/>
      <c r="H63" s="92" t="s">
        <v>66</v>
      </c>
      <c r="I63" s="68">
        <f>I61*1000000/$W$61</f>
        <v>0.14704485757819541</v>
      </c>
      <c r="J63" s="68">
        <f>SUM(I61:J61)*1000000/$W$61</f>
        <v>0.33484130995300215</v>
      </c>
      <c r="K63" s="68">
        <f>SUM(I61:K61)*1000000/$W$61</f>
        <v>0.64608725112051923</v>
      </c>
      <c r="L63" s="68">
        <f>SUM(I61:L61)*1000000/$W$61</f>
        <v>0.74521236782174938</v>
      </c>
      <c r="M63" s="68">
        <f>SUM(I61:M61)*1000000/$W$61</f>
        <v>0.88000615327269882</v>
      </c>
      <c r="N63" s="68">
        <f>SUM(I61:N61)*1000000/$W$61</f>
        <v>1.1375124273832786</v>
      </c>
      <c r="O63" s="68">
        <f>SUM(I61:O61)*1000000/$W$61</f>
        <v>2.0066351037165373</v>
      </c>
      <c r="P63" s="68">
        <f>SUM(I61:P61)*1000000/$W$61</f>
        <v>3.2458780726233956</v>
      </c>
    </row>
    <row r="64" spans="1:24" hidden="1" x14ac:dyDescent="0.2">
      <c r="D64" s="126"/>
      <c r="E64" s="126"/>
      <c r="F64" s="127" t="s">
        <v>64</v>
      </c>
      <c r="G64" s="126"/>
      <c r="H64" s="139">
        <v>1.8871091869209333E-2</v>
      </c>
      <c r="I64" s="126">
        <v>0.16999652836372298</v>
      </c>
      <c r="J64" s="126">
        <v>0.36932868808084701</v>
      </c>
      <c r="K64" s="126">
        <v>0.59700403853880257</v>
      </c>
      <c r="L64" s="126">
        <v>0.78165665896554992</v>
      </c>
      <c r="M64" s="126">
        <v>0.86250280794110623</v>
      </c>
      <c r="N64" s="126">
        <v>0.91000183792508771</v>
      </c>
      <c r="O64" s="126">
        <v>0.99999999999999989</v>
      </c>
      <c r="P64" s="126">
        <v>0.99999999999999989</v>
      </c>
    </row>
    <row r="65" spans="4:16" hidden="1" x14ac:dyDescent="0.2">
      <c r="I65" s="130" t="s">
        <v>17</v>
      </c>
      <c r="J65" s="130" t="s">
        <v>17</v>
      </c>
      <c r="K65" s="130" t="s">
        <v>68</v>
      </c>
      <c r="L65" s="130" t="s">
        <v>17</v>
      </c>
      <c r="M65" s="130" t="s">
        <v>17</v>
      </c>
      <c r="N65" s="130" t="s">
        <v>17</v>
      </c>
      <c r="O65" s="130" t="s">
        <v>47</v>
      </c>
      <c r="P65" s="130" t="s">
        <v>47</v>
      </c>
    </row>
    <row r="66" spans="4:16" hidden="1" x14ac:dyDescent="0.2">
      <c r="D66" s="140" t="s">
        <v>70</v>
      </c>
      <c r="E66" s="140"/>
      <c r="F66" s="140"/>
      <c r="G66" s="140"/>
      <c r="H66" s="140"/>
      <c r="I66" s="140"/>
      <c r="J66" s="98"/>
      <c r="K66" s="98"/>
      <c r="L66" s="98"/>
      <c r="M66" s="98"/>
      <c r="N66" s="98"/>
      <c r="O66" s="98"/>
      <c r="P66" s="98"/>
    </row>
    <row r="67" spans="4:16" ht="30" hidden="1" customHeight="1" x14ac:dyDescent="0.2">
      <c r="D67" s="150" t="s">
        <v>87</v>
      </c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2"/>
    </row>
    <row r="68" spans="4:16" x14ac:dyDescent="0.2"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</row>
  </sheetData>
  <mergeCells count="13">
    <mergeCell ref="T50:U50"/>
    <mergeCell ref="A51:B51"/>
    <mergeCell ref="A4:C4"/>
    <mergeCell ref="D4:F4"/>
    <mergeCell ref="I4:P4"/>
    <mergeCell ref="Q4:S4"/>
    <mergeCell ref="T4:U4"/>
    <mergeCell ref="A5:B5"/>
    <mergeCell ref="D67:P67"/>
    <mergeCell ref="A50:C50"/>
    <mergeCell ref="D50:F50"/>
    <mergeCell ref="I50:P50"/>
    <mergeCell ref="Q50:S50"/>
  </mergeCells>
  <pageMargins left="0.45" right="0.45" top="0.5" bottom="0.5" header="0.3" footer="0.3"/>
  <pageSetup scale="57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68"/>
  <sheetViews>
    <sheetView zoomScale="80" zoomScaleNormal="80" workbookViewId="0">
      <pane ySplit="5" topLeftCell="A6" activePane="bottomLeft" state="frozen"/>
      <selection pane="bottomLeft" activeCell="X5" sqref="X5"/>
    </sheetView>
  </sheetViews>
  <sheetFormatPr baseColWidth="10" defaultColWidth="8.83203125" defaultRowHeight="15" x14ac:dyDescent="0.2"/>
  <cols>
    <col min="1" max="1" width="5" customWidth="1"/>
    <col min="2" max="2" width="37.5" customWidth="1"/>
    <col min="3" max="4" width="10.5" customWidth="1"/>
    <col min="5" max="5" width="7.5" customWidth="1"/>
    <col min="6" max="6" width="11.5" customWidth="1"/>
    <col min="7" max="7" width="2" customWidth="1"/>
    <col min="8" max="8" width="10" customWidth="1"/>
    <col min="9" max="9" width="6.33203125" customWidth="1"/>
    <col min="10" max="12" width="6.1640625" customWidth="1"/>
    <col min="13" max="13" width="6.33203125" customWidth="1"/>
    <col min="14" max="14" width="6.5" customWidth="1"/>
    <col min="15" max="15" width="7.33203125" customWidth="1"/>
    <col min="16" max="16" width="7.5" customWidth="1"/>
    <col min="17" max="17" width="9.1640625" hidden="1" customWidth="1"/>
    <col min="18" max="18" width="9.83203125" hidden="1" customWidth="1"/>
    <col min="19" max="20" width="9.1640625" hidden="1" customWidth="1"/>
    <col min="21" max="21" width="9.83203125" hidden="1" customWidth="1"/>
    <col min="22" max="22" width="22.6640625" customWidth="1"/>
    <col min="23" max="23" width="15.83203125" customWidth="1"/>
    <col min="24" max="24" width="70.5" customWidth="1"/>
  </cols>
  <sheetData>
    <row r="1" spans="1:24" x14ac:dyDescent="0.2">
      <c r="A1" s="69" t="s">
        <v>42</v>
      </c>
    </row>
    <row r="2" spans="1:24" x14ac:dyDescent="0.2">
      <c r="A2" s="12" t="s">
        <v>93</v>
      </c>
      <c r="H2" s="8" t="s">
        <v>89</v>
      </c>
      <c r="I2" s="65" t="s">
        <v>88</v>
      </c>
    </row>
    <row r="3" spans="1:24" x14ac:dyDescent="0.2">
      <c r="B3" s="70"/>
      <c r="J3" s="65"/>
    </row>
    <row r="4" spans="1:24" x14ac:dyDescent="0.2">
      <c r="A4" s="153"/>
      <c r="B4" s="154"/>
      <c r="C4" s="154"/>
      <c r="D4" s="155">
        <v>43646</v>
      </c>
      <c r="E4" s="156"/>
      <c r="F4" s="157"/>
      <c r="G4" s="71"/>
      <c r="H4" s="76" t="s">
        <v>10</v>
      </c>
      <c r="I4" s="165" t="s">
        <v>21</v>
      </c>
      <c r="J4" s="165"/>
      <c r="K4" s="165"/>
      <c r="L4" s="165"/>
      <c r="M4" s="165"/>
      <c r="N4" s="165"/>
      <c r="O4" s="165"/>
      <c r="P4" s="166"/>
      <c r="Q4" s="160" t="s">
        <v>10</v>
      </c>
      <c r="R4" s="161"/>
      <c r="S4" s="162"/>
      <c r="T4" s="160" t="s">
        <v>11</v>
      </c>
      <c r="U4" s="162"/>
      <c r="V4" s="4"/>
      <c r="W4" s="4"/>
      <c r="X4" s="138"/>
    </row>
    <row r="5" spans="1:24" x14ac:dyDescent="0.2">
      <c r="A5" s="163" t="s">
        <v>6</v>
      </c>
      <c r="B5" s="164"/>
      <c r="C5" s="6" t="s">
        <v>2</v>
      </c>
      <c r="D5" s="97" t="s">
        <v>3</v>
      </c>
      <c r="E5" s="6" t="s">
        <v>5</v>
      </c>
      <c r="F5" s="5" t="s">
        <v>16</v>
      </c>
      <c r="G5" s="71"/>
      <c r="H5" s="77" t="s">
        <v>7</v>
      </c>
      <c r="I5" s="81">
        <v>1</v>
      </c>
      <c r="J5" s="81">
        <v>2</v>
      </c>
      <c r="K5" s="81">
        <v>5</v>
      </c>
      <c r="L5" s="81">
        <v>10</v>
      </c>
      <c r="M5" s="81">
        <v>30</v>
      </c>
      <c r="N5" s="81">
        <v>60</v>
      </c>
      <c r="O5" s="81">
        <v>180</v>
      </c>
      <c r="P5" s="82">
        <v>360</v>
      </c>
      <c r="Q5" s="97" t="s">
        <v>7</v>
      </c>
      <c r="R5" s="6" t="s">
        <v>12</v>
      </c>
      <c r="S5" s="5" t="s">
        <v>8</v>
      </c>
      <c r="T5" s="97" t="s">
        <v>4</v>
      </c>
      <c r="U5" s="5" t="s">
        <v>9</v>
      </c>
      <c r="V5" s="7" t="s">
        <v>30</v>
      </c>
      <c r="W5" s="7" t="s">
        <v>41</v>
      </c>
      <c r="X5" s="145" t="s">
        <v>90</v>
      </c>
    </row>
    <row r="6" spans="1:24" x14ac:dyDescent="0.2">
      <c r="A6" s="9"/>
      <c r="B6" s="11"/>
      <c r="C6" s="13"/>
      <c r="D6" s="16"/>
      <c r="E6" s="16"/>
      <c r="F6" s="15"/>
      <c r="G6" s="71"/>
      <c r="H6" s="78"/>
      <c r="I6" s="83"/>
      <c r="J6" s="83"/>
      <c r="K6" s="83"/>
      <c r="L6" s="83"/>
      <c r="M6" s="83"/>
      <c r="N6" s="83"/>
      <c r="O6" s="83"/>
      <c r="P6" s="84"/>
      <c r="Q6" s="17"/>
      <c r="R6" s="14"/>
      <c r="S6" s="18"/>
      <c r="T6" s="17"/>
      <c r="U6" s="13"/>
      <c r="V6" s="58"/>
      <c r="W6" s="131"/>
      <c r="X6" s="141"/>
    </row>
    <row r="7" spans="1:24" x14ac:dyDescent="0.2">
      <c r="A7" s="10" t="s">
        <v>14</v>
      </c>
      <c r="C7" s="14"/>
      <c r="D7" s="16"/>
      <c r="E7" s="16"/>
      <c r="F7" s="15"/>
      <c r="G7" s="72"/>
      <c r="H7" s="78"/>
      <c r="I7" s="83"/>
      <c r="J7" s="83"/>
      <c r="K7" s="83"/>
      <c r="L7" s="83"/>
      <c r="M7" s="83"/>
      <c r="N7" s="83"/>
      <c r="O7" s="83"/>
      <c r="P7" s="85"/>
      <c r="Q7" s="17"/>
      <c r="R7" s="14"/>
      <c r="S7" s="18"/>
      <c r="T7" s="17"/>
      <c r="U7" s="14"/>
      <c r="V7" s="58"/>
      <c r="W7" s="131"/>
      <c r="X7" s="142"/>
    </row>
    <row r="8" spans="1:24" ht="32" x14ac:dyDescent="0.2">
      <c r="A8" s="2"/>
      <c r="B8" s="31" t="s">
        <v>97</v>
      </c>
      <c r="C8" s="21">
        <v>3</v>
      </c>
      <c r="D8" s="22">
        <v>102.85</v>
      </c>
      <c r="E8" s="22">
        <v>1.02</v>
      </c>
      <c r="F8" s="23">
        <f>10000*D8*E8*C8</f>
        <v>3147210</v>
      </c>
      <c r="G8" s="73"/>
      <c r="H8" s="79">
        <v>1.2500000000000001E-2</v>
      </c>
      <c r="I8" s="86">
        <f>F8/1000000</f>
        <v>3.1472099999999998</v>
      </c>
      <c r="J8" s="86"/>
      <c r="K8" s="86"/>
      <c r="L8" s="86"/>
      <c r="M8" s="86"/>
      <c r="N8" s="86"/>
      <c r="O8" s="86"/>
      <c r="P8" s="87"/>
      <c r="Q8" s="24">
        <v>1.2500000000000001E-2</v>
      </c>
      <c r="R8" s="25">
        <v>7.4999999999999997E-3</v>
      </c>
      <c r="S8" s="26">
        <v>1</v>
      </c>
      <c r="T8" s="24">
        <v>3.0000000000000001E-3</v>
      </c>
      <c r="U8" s="27">
        <v>0.03</v>
      </c>
      <c r="V8" s="59" t="s">
        <v>56</v>
      </c>
      <c r="W8" s="132" t="s">
        <v>50</v>
      </c>
      <c r="X8" s="149"/>
    </row>
    <row r="9" spans="1:24" ht="56.25" customHeight="1" x14ac:dyDescent="0.2">
      <c r="A9" s="2"/>
      <c r="B9" s="31" t="s">
        <v>98</v>
      </c>
      <c r="C9" s="33">
        <v>3</v>
      </c>
      <c r="D9" s="22">
        <v>100.85</v>
      </c>
      <c r="E9" s="22">
        <v>1</v>
      </c>
      <c r="F9" s="23">
        <f>20000*D9*E9*C9</f>
        <v>6051000</v>
      </c>
      <c r="G9" s="73"/>
      <c r="H9" s="79">
        <v>1.7500000000000002E-2</v>
      </c>
      <c r="I9" s="86">
        <v>1</v>
      </c>
      <c r="J9" s="86">
        <v>4</v>
      </c>
      <c r="K9" s="86">
        <f>F9/1000000-I9-J9</f>
        <v>1.0510000000000002</v>
      </c>
      <c r="L9" s="86"/>
      <c r="M9" s="86"/>
      <c r="N9" s="86"/>
      <c r="O9" s="86"/>
      <c r="P9" s="87"/>
      <c r="Q9" s="24">
        <v>1.7500000000000002E-2</v>
      </c>
      <c r="R9" s="25">
        <v>3.5000000000000001E-3</v>
      </c>
      <c r="S9" s="26">
        <v>2</v>
      </c>
      <c r="T9" s="24">
        <v>2.5000000000000001E-3</v>
      </c>
      <c r="U9" s="27">
        <v>0.05</v>
      </c>
      <c r="V9" s="59" t="s">
        <v>57</v>
      </c>
      <c r="W9" s="132" t="s">
        <v>51</v>
      </c>
      <c r="X9" s="149"/>
    </row>
    <row r="10" spans="1:24" ht="58.5" customHeight="1" x14ac:dyDescent="0.2">
      <c r="A10" s="2"/>
      <c r="B10" s="31" t="s">
        <v>99</v>
      </c>
      <c r="C10" s="33">
        <v>1</v>
      </c>
      <c r="D10" s="34">
        <v>93.25</v>
      </c>
      <c r="E10" s="34">
        <v>1</v>
      </c>
      <c r="F10" s="35">
        <f>50000*D10/E10*C10</f>
        <v>4662500</v>
      </c>
      <c r="G10" s="74"/>
      <c r="H10" s="79">
        <v>3.5000000000000003E-2</v>
      </c>
      <c r="I10" s="95"/>
      <c r="J10" s="95"/>
      <c r="K10" s="111">
        <f>F10/1000000</f>
        <v>4.6624999999999996</v>
      </c>
      <c r="L10" s="111"/>
      <c r="M10" s="111"/>
      <c r="N10" s="111"/>
      <c r="O10" s="111"/>
      <c r="P10" s="112"/>
      <c r="Q10" s="36">
        <v>3.5000000000000003E-2</v>
      </c>
      <c r="R10" s="37">
        <v>2.6499999999999999E-2</v>
      </c>
      <c r="S10" s="38">
        <v>5</v>
      </c>
      <c r="T10" s="28">
        <v>6.4999999999999997E-3</v>
      </c>
      <c r="U10" s="29">
        <v>-0.1</v>
      </c>
      <c r="V10" s="59" t="s">
        <v>40</v>
      </c>
      <c r="W10" s="132" t="s">
        <v>49</v>
      </c>
      <c r="X10" s="149"/>
    </row>
    <row r="11" spans="1:24" ht="28.5" customHeight="1" x14ac:dyDescent="0.2">
      <c r="A11" s="2"/>
      <c r="B11" s="32" t="s">
        <v>100</v>
      </c>
      <c r="C11" s="21">
        <v>5</v>
      </c>
      <c r="D11" s="22">
        <v>91.25</v>
      </c>
      <c r="E11" s="34">
        <v>1.33</v>
      </c>
      <c r="F11" s="35">
        <f>15000*D11/E11*C11</f>
        <v>5145676.691729323</v>
      </c>
      <c r="G11" s="73"/>
      <c r="H11" s="79">
        <v>2.6499999999999999E-2</v>
      </c>
      <c r="I11" s="109">
        <f>F11/1000000</f>
        <v>5.1456766917293226</v>
      </c>
      <c r="J11" s="109"/>
      <c r="K11" s="109"/>
      <c r="L11" s="109"/>
      <c r="M11" s="109"/>
      <c r="N11" s="109"/>
      <c r="O11" s="109"/>
      <c r="P11" s="110"/>
      <c r="Q11" s="24">
        <v>2.6499999999999999E-2</v>
      </c>
      <c r="R11" s="25">
        <v>5.4999999999999997E-3</v>
      </c>
      <c r="S11" s="26">
        <v>1</v>
      </c>
      <c r="T11" s="24">
        <v>1.5E-3</v>
      </c>
      <c r="U11" s="30">
        <v>2.5000000000000001E-2</v>
      </c>
      <c r="V11" s="59" t="s">
        <v>61</v>
      </c>
      <c r="W11" s="132" t="s">
        <v>52</v>
      </c>
      <c r="X11" s="149"/>
    </row>
    <row r="12" spans="1:24" ht="63.75" customHeight="1" x14ac:dyDescent="0.2">
      <c r="A12" s="2"/>
      <c r="B12" s="31" t="s">
        <v>101</v>
      </c>
      <c r="C12" s="33">
        <v>5</v>
      </c>
      <c r="D12" s="22">
        <v>64</v>
      </c>
      <c r="E12" s="22">
        <v>1</v>
      </c>
      <c r="F12" s="23">
        <f>30000*D12*E12*C12</f>
        <v>9600000</v>
      </c>
      <c r="G12" s="73"/>
      <c r="H12" s="79">
        <v>2.75E-2</v>
      </c>
      <c r="I12" s="93"/>
      <c r="J12" s="93"/>
      <c r="K12" s="86">
        <v>2</v>
      </c>
      <c r="L12" s="86">
        <f>F12/1000000-K12</f>
        <v>7.6</v>
      </c>
      <c r="M12" s="86"/>
      <c r="N12" s="86"/>
      <c r="O12" s="86"/>
      <c r="P12" s="87"/>
      <c r="Q12" s="24"/>
      <c r="R12" s="25"/>
      <c r="S12" s="26"/>
      <c r="T12" s="24"/>
      <c r="U12" s="27"/>
      <c r="V12" s="59" t="s">
        <v>31</v>
      </c>
      <c r="W12" s="132" t="s">
        <v>55</v>
      </c>
      <c r="X12" s="149"/>
    </row>
    <row r="13" spans="1:24" ht="60" x14ac:dyDescent="0.2">
      <c r="A13" s="2"/>
      <c r="B13" s="31" t="s">
        <v>102</v>
      </c>
      <c r="C13" s="33">
        <v>4</v>
      </c>
      <c r="D13" s="22">
        <v>94</v>
      </c>
      <c r="E13" s="22">
        <v>1</v>
      </c>
      <c r="F13" s="23">
        <f>10000*D13*E13*C13</f>
        <v>3760000</v>
      </c>
      <c r="G13" s="73"/>
      <c r="H13" s="79">
        <v>6.25E-2</v>
      </c>
      <c r="I13" s="95"/>
      <c r="J13" s="95"/>
      <c r="K13" s="95"/>
      <c r="L13" s="95"/>
      <c r="M13" s="109">
        <v>2</v>
      </c>
      <c r="N13" s="109">
        <v>2</v>
      </c>
      <c r="O13" s="109">
        <f>F13/1000000-M13-N13</f>
        <v>-0.24000000000000021</v>
      </c>
      <c r="P13" s="110"/>
      <c r="Q13" s="24"/>
      <c r="R13" s="25"/>
      <c r="S13" s="26"/>
      <c r="T13" s="24"/>
      <c r="U13" s="27"/>
      <c r="V13" s="59" t="s">
        <v>58</v>
      </c>
      <c r="W13" s="132" t="s">
        <v>48</v>
      </c>
      <c r="X13" s="149"/>
    </row>
    <row r="14" spans="1:24" ht="56.25" customHeight="1" x14ac:dyDescent="0.2">
      <c r="A14" s="2"/>
      <c r="B14" s="31" t="s">
        <v>103</v>
      </c>
      <c r="C14" s="21">
        <v>4</v>
      </c>
      <c r="D14" s="22">
        <v>107</v>
      </c>
      <c r="E14" s="22">
        <v>1</v>
      </c>
      <c r="F14" s="23">
        <f>10000*D14*E14*C14</f>
        <v>4280000</v>
      </c>
      <c r="G14" s="73"/>
      <c r="H14" s="79">
        <v>4.4999999999999998E-2</v>
      </c>
      <c r="I14" s="95"/>
      <c r="J14" s="95"/>
      <c r="K14" s="109">
        <v>2</v>
      </c>
      <c r="L14" s="109">
        <f>F14/1000000-K14</f>
        <v>2.2800000000000002</v>
      </c>
      <c r="M14" s="109"/>
      <c r="N14" s="109"/>
      <c r="O14" s="109"/>
      <c r="P14" s="110"/>
      <c r="Q14" s="24"/>
      <c r="R14" s="25"/>
      <c r="S14" s="26"/>
      <c r="T14" s="24"/>
      <c r="U14" s="30"/>
      <c r="V14" s="59" t="s">
        <v>58</v>
      </c>
      <c r="W14" s="132" t="s">
        <v>53</v>
      </c>
      <c r="X14" s="149"/>
    </row>
    <row r="15" spans="1:24" ht="60.75" customHeight="1" x14ac:dyDescent="0.2">
      <c r="A15" s="2"/>
      <c r="B15" s="31" t="s">
        <v>104</v>
      </c>
      <c r="C15" s="21">
        <v>4</v>
      </c>
      <c r="D15" s="22">
        <v>106.25</v>
      </c>
      <c r="E15" s="22">
        <v>1</v>
      </c>
      <c r="F15" s="35">
        <f>10000*D15/E15*C15</f>
        <v>4250000</v>
      </c>
      <c r="G15" s="73"/>
      <c r="H15" s="79">
        <v>4.4999999999999998E-2</v>
      </c>
      <c r="I15" s="95"/>
      <c r="J15" s="95"/>
      <c r="K15" s="109">
        <v>1</v>
      </c>
      <c r="L15" s="109">
        <f>F15/1000000</f>
        <v>4.25</v>
      </c>
      <c r="M15" s="109"/>
      <c r="N15" s="109"/>
      <c r="O15" s="109"/>
      <c r="P15" s="110"/>
      <c r="Q15" s="24"/>
      <c r="R15" s="25"/>
      <c r="S15" s="26"/>
      <c r="T15" s="24"/>
      <c r="U15" s="30"/>
      <c r="V15" s="59" t="s">
        <v>58</v>
      </c>
      <c r="W15" s="132" t="s">
        <v>54</v>
      </c>
      <c r="X15" s="149"/>
    </row>
    <row r="16" spans="1:24" ht="25.5" customHeight="1" x14ac:dyDescent="0.2">
      <c r="A16" s="2"/>
      <c r="B16" s="20"/>
      <c r="C16" s="21"/>
      <c r="D16" s="22"/>
      <c r="E16" s="22"/>
      <c r="F16" s="23"/>
      <c r="G16" s="73"/>
      <c r="H16" s="79"/>
      <c r="I16" s="86"/>
      <c r="J16" s="86"/>
      <c r="K16" s="86"/>
      <c r="L16" s="86"/>
      <c r="M16" s="86"/>
      <c r="N16" s="86"/>
      <c r="O16" s="86"/>
      <c r="P16" s="87"/>
      <c r="Q16" s="40"/>
      <c r="R16" s="21"/>
      <c r="S16" s="26"/>
      <c r="T16" s="40"/>
      <c r="U16" s="21"/>
      <c r="V16" s="59"/>
      <c r="W16" s="131"/>
      <c r="X16" s="146"/>
    </row>
    <row r="17" spans="1:24" x14ac:dyDescent="0.2">
      <c r="A17" s="10" t="s">
        <v>0</v>
      </c>
      <c r="B17" s="20"/>
      <c r="C17" s="21"/>
      <c r="D17" s="22"/>
      <c r="E17" s="22"/>
      <c r="F17" s="23"/>
      <c r="G17" s="73"/>
      <c r="H17" s="79"/>
      <c r="I17" s="86"/>
      <c r="J17" s="86"/>
      <c r="K17" s="86"/>
      <c r="L17" s="86"/>
      <c r="M17" s="86"/>
      <c r="N17" s="86"/>
      <c r="O17" s="86"/>
      <c r="P17" s="87"/>
      <c r="Q17" s="40"/>
      <c r="R17" s="21"/>
      <c r="S17" s="26"/>
      <c r="T17" s="40"/>
      <c r="U17" s="21"/>
      <c r="V17" s="59"/>
      <c r="W17" s="131"/>
      <c r="X17" s="142"/>
    </row>
    <row r="18" spans="1:24" ht="45" x14ac:dyDescent="0.2">
      <c r="A18" s="2"/>
      <c r="B18" s="49" t="s">
        <v>20</v>
      </c>
      <c r="C18" s="50">
        <v>175000</v>
      </c>
      <c r="D18" s="34">
        <f>39.42*0.8</f>
        <v>31.536000000000001</v>
      </c>
      <c r="E18" s="34">
        <v>1</v>
      </c>
      <c r="F18" s="35">
        <f>C18*D18/E18</f>
        <v>5518800</v>
      </c>
      <c r="G18" s="74"/>
      <c r="H18" s="79">
        <v>0</v>
      </c>
      <c r="I18" s="86">
        <v>2</v>
      </c>
      <c r="J18" s="86">
        <v>3</v>
      </c>
      <c r="K18" s="86">
        <f>F18/1000000-I18-J18</f>
        <v>0.51879999999999971</v>
      </c>
      <c r="L18" s="86"/>
      <c r="M18" s="86"/>
      <c r="N18" s="86"/>
      <c r="O18" s="86"/>
      <c r="P18" s="87"/>
      <c r="Q18" s="36">
        <v>0</v>
      </c>
      <c r="R18" s="39">
        <v>0.22</v>
      </c>
      <c r="S18" s="38">
        <v>1</v>
      </c>
      <c r="T18" s="24">
        <v>4.2500000000000003E-2</v>
      </c>
      <c r="U18" s="27">
        <v>-0.15</v>
      </c>
      <c r="V18" s="59" t="s">
        <v>39</v>
      </c>
      <c r="W18" s="131"/>
      <c r="X18" s="149"/>
    </row>
    <row r="19" spans="1:24" ht="60" x14ac:dyDescent="0.2">
      <c r="A19" s="2"/>
      <c r="B19" s="49" t="s">
        <v>26</v>
      </c>
      <c r="C19" s="50">
        <v>470000</v>
      </c>
      <c r="D19" s="34">
        <f>24.94*0.95</f>
        <v>23.693000000000001</v>
      </c>
      <c r="E19" s="34">
        <v>1.33</v>
      </c>
      <c r="F19" s="35">
        <f>C19*D19/E19</f>
        <v>8372714.2857142854</v>
      </c>
      <c r="G19" s="74"/>
      <c r="H19" s="79">
        <v>1.4999999999999999E-2</v>
      </c>
      <c r="I19" s="86"/>
      <c r="J19" s="86">
        <v>1</v>
      </c>
      <c r="K19" s="86">
        <v>2</v>
      </c>
      <c r="L19" s="86">
        <v>2</v>
      </c>
      <c r="M19" s="86">
        <f>F19/1000000-J19-K19-L19</f>
        <v>3.3727142857142862</v>
      </c>
      <c r="N19" s="86"/>
      <c r="O19" s="86"/>
      <c r="P19" s="87"/>
      <c r="Q19" s="36">
        <v>1.4999999999999999E-2</v>
      </c>
      <c r="R19" s="39">
        <v>0.12</v>
      </c>
      <c r="S19" s="38">
        <v>2</v>
      </c>
      <c r="T19" s="24">
        <v>2.5000000000000001E-2</v>
      </c>
      <c r="U19" s="30">
        <v>-7.4999999999999997E-2</v>
      </c>
      <c r="V19" s="59" t="s">
        <v>59</v>
      </c>
      <c r="W19" s="131"/>
      <c r="X19" s="149"/>
    </row>
    <row r="20" spans="1:24" ht="30" x14ac:dyDescent="0.2">
      <c r="A20" s="2"/>
      <c r="B20" s="49" t="s">
        <v>25</v>
      </c>
      <c r="C20" s="50">
        <v>175000</v>
      </c>
      <c r="D20" s="50">
        <f>6233*0.9</f>
        <v>5609.7</v>
      </c>
      <c r="E20" s="147">
        <v>122</v>
      </c>
      <c r="F20" s="35">
        <f>C20*D20/E20</f>
        <v>8046700.819672131</v>
      </c>
      <c r="G20" s="74"/>
      <c r="H20" s="79">
        <v>2.5000000000000001E-2</v>
      </c>
      <c r="I20" s="94"/>
      <c r="J20" s="94"/>
      <c r="K20" s="111">
        <v>2</v>
      </c>
      <c r="L20" s="111">
        <v>3</v>
      </c>
      <c r="M20" s="111">
        <f>F20/1000000-K20-L20</f>
        <v>3.0467008196721306</v>
      </c>
      <c r="N20" s="111"/>
      <c r="O20" s="111"/>
      <c r="P20" s="112"/>
      <c r="Q20" s="36">
        <v>2.5000000000000001E-2</v>
      </c>
      <c r="R20" s="39">
        <v>0.34</v>
      </c>
      <c r="S20" s="38">
        <v>4</v>
      </c>
      <c r="T20" s="28">
        <v>6.7500000000000004E-2</v>
      </c>
      <c r="U20" s="29">
        <v>-0.15</v>
      </c>
      <c r="V20" s="59" t="s">
        <v>32</v>
      </c>
      <c r="W20" s="136"/>
      <c r="X20" s="149"/>
    </row>
    <row r="21" spans="1:24" ht="45" x14ac:dyDescent="0.2">
      <c r="A21" s="2"/>
      <c r="B21" s="49" t="s">
        <v>24</v>
      </c>
      <c r="C21" s="50">
        <v>125000</v>
      </c>
      <c r="D21" s="34">
        <f>46.3*0.8</f>
        <v>37.04</v>
      </c>
      <c r="E21" s="34">
        <v>1.02</v>
      </c>
      <c r="F21" s="35">
        <f>C21*D21*E21</f>
        <v>4722600</v>
      </c>
      <c r="G21" s="74"/>
      <c r="H21" s="79">
        <v>2.5000000000000001E-3</v>
      </c>
      <c r="I21" s="94"/>
      <c r="J21" s="111">
        <v>3</v>
      </c>
      <c r="K21" s="111">
        <f>F21/1000000-J21</f>
        <v>1.7225999999999999</v>
      </c>
      <c r="L21" s="111"/>
      <c r="M21" s="111"/>
      <c r="N21" s="111"/>
      <c r="O21" s="111"/>
      <c r="P21" s="112"/>
      <c r="Q21" s="36">
        <v>2.5000000000000001E-3</v>
      </c>
      <c r="R21" s="39">
        <v>0.15</v>
      </c>
      <c r="S21" s="38">
        <v>2</v>
      </c>
      <c r="T21" s="24">
        <v>3.5000000000000003E-2</v>
      </c>
      <c r="U21" s="30">
        <v>-7.4999999999999997E-2</v>
      </c>
      <c r="V21" s="59" t="s">
        <v>94</v>
      </c>
      <c r="W21" s="136"/>
      <c r="X21" s="149"/>
    </row>
    <row r="22" spans="1:24" x14ac:dyDescent="0.2">
      <c r="A22" s="2"/>
      <c r="B22" s="49"/>
      <c r="C22" s="50"/>
      <c r="D22" s="34"/>
      <c r="E22" s="34"/>
      <c r="F22" s="35"/>
      <c r="G22" s="74"/>
      <c r="H22" s="79"/>
      <c r="I22" s="111"/>
      <c r="J22" s="111"/>
      <c r="K22" s="111"/>
      <c r="L22" s="111"/>
      <c r="M22" s="111"/>
      <c r="N22" s="111"/>
      <c r="O22" s="111"/>
      <c r="P22" s="112"/>
      <c r="Q22" s="36"/>
      <c r="R22" s="39"/>
      <c r="S22" s="38"/>
      <c r="T22" s="24"/>
      <c r="U22" s="30"/>
      <c r="V22" s="59"/>
      <c r="W22" s="136"/>
      <c r="X22" s="142"/>
    </row>
    <row r="23" spans="1:24" x14ac:dyDescent="0.2">
      <c r="A23" s="10" t="s">
        <v>1</v>
      </c>
      <c r="B23" s="20"/>
      <c r="C23" s="33"/>
      <c r="D23" s="22"/>
      <c r="E23" s="22"/>
      <c r="F23" s="23"/>
      <c r="G23" s="73"/>
      <c r="H23" s="79"/>
      <c r="I23" s="109"/>
      <c r="J23" s="109"/>
      <c r="K23" s="109"/>
      <c r="L23" s="109"/>
      <c r="M23" s="109"/>
      <c r="N23" s="109"/>
      <c r="O23" s="109"/>
      <c r="P23" s="110"/>
      <c r="Q23" s="40"/>
      <c r="R23" s="21"/>
      <c r="S23" s="26"/>
      <c r="T23" s="54" t="s">
        <v>19</v>
      </c>
      <c r="U23" s="21"/>
      <c r="V23" s="58"/>
      <c r="W23" s="136"/>
      <c r="X23" s="142"/>
    </row>
    <row r="24" spans="1:24" x14ac:dyDescent="0.2">
      <c r="A24" s="2"/>
      <c r="B24" s="41" t="s">
        <v>105</v>
      </c>
      <c r="C24" s="50">
        <v>3000000</v>
      </c>
      <c r="D24" s="22">
        <v>1.0900000000000001</v>
      </c>
      <c r="E24" s="22">
        <v>1</v>
      </c>
      <c r="F24" s="23">
        <f>(D24-1.02)*C24</f>
        <v>210000.00000000017</v>
      </c>
      <c r="G24" s="73"/>
      <c r="H24" s="79" t="s">
        <v>17</v>
      </c>
      <c r="I24" s="109"/>
      <c r="J24" s="109"/>
      <c r="K24" s="109"/>
      <c r="L24" s="109"/>
      <c r="M24" s="109"/>
      <c r="N24" s="109"/>
      <c r="O24" s="109"/>
      <c r="P24" s="110"/>
      <c r="Q24" s="24">
        <v>5.0000000000000001E-3</v>
      </c>
      <c r="R24" s="25">
        <v>2.75E-2</v>
      </c>
      <c r="S24" s="26">
        <v>1</v>
      </c>
      <c r="T24" s="24">
        <v>1.2500000000000001E-2</v>
      </c>
      <c r="U24" s="27">
        <v>-0.05</v>
      </c>
      <c r="V24" s="59" t="s">
        <v>33</v>
      </c>
      <c r="W24" s="136"/>
      <c r="X24" s="142"/>
    </row>
    <row r="25" spans="1:24" x14ac:dyDescent="0.2">
      <c r="A25" s="2"/>
      <c r="B25" s="41" t="s">
        <v>106</v>
      </c>
      <c r="C25" s="50">
        <v>5000000</v>
      </c>
      <c r="D25" s="22">
        <v>1.33</v>
      </c>
      <c r="E25" s="22">
        <v>1</v>
      </c>
      <c r="F25" s="23">
        <f>(D25-1.35)*C25</f>
        <v>-100000.00000000009</v>
      </c>
      <c r="G25" s="73"/>
      <c r="H25" s="79" t="s">
        <v>17</v>
      </c>
      <c r="I25" s="109"/>
      <c r="J25" s="109"/>
      <c r="K25" s="109"/>
      <c r="L25" s="109"/>
      <c r="M25" s="109"/>
      <c r="N25" s="109"/>
      <c r="O25" s="109"/>
      <c r="P25" s="110"/>
      <c r="Q25" s="24">
        <v>2E-3</v>
      </c>
      <c r="R25" s="25">
        <v>1.7500000000000002E-2</v>
      </c>
      <c r="S25" s="26">
        <v>1</v>
      </c>
      <c r="T25" s="24">
        <v>1.2999999999999999E-2</v>
      </c>
      <c r="U25" s="27">
        <v>-0.05</v>
      </c>
      <c r="V25" s="59" t="s">
        <v>33</v>
      </c>
      <c r="W25" s="136"/>
      <c r="X25" s="142"/>
    </row>
    <row r="26" spans="1:24" ht="13.5" customHeight="1" x14ac:dyDescent="0.2">
      <c r="A26" s="2"/>
      <c r="B26" s="41"/>
      <c r="C26" s="21"/>
      <c r="D26" s="22"/>
      <c r="E26" s="22"/>
      <c r="F26" s="23"/>
      <c r="G26" s="73"/>
      <c r="H26" s="79"/>
      <c r="I26" s="109"/>
      <c r="J26" s="109"/>
      <c r="K26" s="109"/>
      <c r="L26" s="109"/>
      <c r="M26" s="109"/>
      <c r="N26" s="109"/>
      <c r="O26" s="109"/>
      <c r="P26" s="110"/>
      <c r="Q26" s="40"/>
      <c r="R26" s="21"/>
      <c r="S26" s="26"/>
      <c r="T26" s="40"/>
      <c r="U26" s="21"/>
      <c r="V26" s="58"/>
      <c r="W26" s="136"/>
      <c r="X26" s="142"/>
    </row>
    <row r="27" spans="1:24" x14ac:dyDescent="0.2">
      <c r="A27" s="10" t="s">
        <v>15</v>
      </c>
      <c r="B27" s="20"/>
      <c r="C27" s="21"/>
      <c r="D27" s="22"/>
      <c r="E27" s="22"/>
      <c r="F27" s="23"/>
      <c r="G27" s="73"/>
      <c r="H27" s="79"/>
      <c r="I27" s="109"/>
      <c r="J27" s="109"/>
      <c r="K27" s="109"/>
      <c r="L27" s="109"/>
      <c r="M27" s="109"/>
      <c r="N27" s="109"/>
      <c r="O27" s="109"/>
      <c r="P27" s="110"/>
      <c r="Q27" s="40"/>
      <c r="R27" s="21"/>
      <c r="S27" s="26"/>
      <c r="T27" s="54" t="s">
        <v>19</v>
      </c>
      <c r="U27" s="21"/>
      <c r="V27" s="58"/>
      <c r="W27" s="136"/>
      <c r="X27" s="142"/>
    </row>
    <row r="28" spans="1:24" ht="15.75" customHeight="1" x14ac:dyDescent="0.2">
      <c r="A28" s="2"/>
      <c r="B28" s="20" t="s">
        <v>107</v>
      </c>
      <c r="C28" s="33">
        <v>60</v>
      </c>
      <c r="D28" s="43">
        <f>1021.97*2.5*1.4</f>
        <v>3576.895</v>
      </c>
      <c r="E28" s="22">
        <v>1</v>
      </c>
      <c r="F28" s="23">
        <f>C28*D28*E28</f>
        <v>214613.7</v>
      </c>
      <c r="G28" s="73"/>
      <c r="H28" s="79" t="s">
        <v>17</v>
      </c>
      <c r="I28" s="109"/>
      <c r="J28" s="109"/>
      <c r="K28" s="109"/>
      <c r="L28" s="109"/>
      <c r="M28" s="109"/>
      <c r="N28" s="109"/>
      <c r="O28" s="109"/>
      <c r="P28" s="110"/>
      <c r="Q28" s="40" t="s">
        <v>17</v>
      </c>
      <c r="R28" s="27">
        <v>0.66</v>
      </c>
      <c r="S28" s="26">
        <v>1</v>
      </c>
      <c r="T28" s="24">
        <v>8.3000000000000004E-2</v>
      </c>
      <c r="U28" s="27">
        <v>0.3</v>
      </c>
      <c r="V28" s="59" t="s">
        <v>34</v>
      </c>
      <c r="W28" s="136"/>
      <c r="X28" s="142"/>
    </row>
    <row r="29" spans="1:24" ht="18" customHeight="1" x14ac:dyDescent="0.2">
      <c r="A29" s="2"/>
      <c r="B29" s="20" t="s">
        <v>108</v>
      </c>
      <c r="C29" s="33">
        <v>150</v>
      </c>
      <c r="D29" s="43">
        <f>441.82*3*1.5</f>
        <v>1988.19</v>
      </c>
      <c r="E29" s="22">
        <v>1.02</v>
      </c>
      <c r="F29" s="23">
        <f>C29*D29*E29</f>
        <v>304193.07</v>
      </c>
      <c r="G29" s="73"/>
      <c r="H29" s="79" t="s">
        <v>17</v>
      </c>
      <c r="I29" s="109"/>
      <c r="J29" s="109"/>
      <c r="K29" s="109"/>
      <c r="L29" s="109"/>
      <c r="M29" s="109"/>
      <c r="N29" s="109"/>
      <c r="O29" s="109"/>
      <c r="P29" s="110"/>
      <c r="Q29" s="40" t="s">
        <v>17</v>
      </c>
      <c r="R29" s="27">
        <v>0.28000000000000003</v>
      </c>
      <c r="S29" s="26">
        <v>1</v>
      </c>
      <c r="T29" s="24">
        <v>6.9500000000000006E-2</v>
      </c>
      <c r="U29" s="27">
        <v>0.25</v>
      </c>
      <c r="V29" s="59" t="s">
        <v>34</v>
      </c>
      <c r="W29" s="136"/>
      <c r="X29" s="142"/>
    </row>
    <row r="30" spans="1:24" ht="16.5" customHeight="1" x14ac:dyDescent="0.2">
      <c r="A30" s="2"/>
      <c r="B30" s="20" t="s">
        <v>109</v>
      </c>
      <c r="C30" s="33">
        <v>90</v>
      </c>
      <c r="D30" s="43">
        <f>72500*2.5*1.4</f>
        <v>253749.99999999997</v>
      </c>
      <c r="E30" s="148">
        <v>122</v>
      </c>
      <c r="F30" s="23">
        <f>C30*D30/E30</f>
        <v>187192.62295081964</v>
      </c>
      <c r="G30" s="73"/>
      <c r="H30" s="79" t="s">
        <v>17</v>
      </c>
      <c r="I30" s="109"/>
      <c r="J30" s="109"/>
      <c r="K30" s="109"/>
      <c r="L30" s="109"/>
      <c r="M30" s="109"/>
      <c r="N30" s="109"/>
      <c r="O30" s="109"/>
      <c r="P30" s="110"/>
      <c r="Q30" s="40" t="s">
        <v>17</v>
      </c>
      <c r="R30" s="27">
        <v>0.32</v>
      </c>
      <c r="S30" s="26">
        <v>1</v>
      </c>
      <c r="T30" s="24">
        <v>5.7500000000000002E-2</v>
      </c>
      <c r="U30" s="27">
        <v>0.25</v>
      </c>
      <c r="V30" s="59" t="s">
        <v>34</v>
      </c>
      <c r="W30" s="136"/>
      <c r="X30" s="142"/>
    </row>
    <row r="31" spans="1:24" ht="16.5" customHeight="1" x14ac:dyDescent="0.2">
      <c r="A31" s="2"/>
      <c r="B31" s="20" t="s">
        <v>110</v>
      </c>
      <c r="C31" s="33">
        <v>125</v>
      </c>
      <c r="D31" s="43">
        <f>764.54*2*1.3</f>
        <v>1987.8039999999999</v>
      </c>
      <c r="E31" s="22">
        <v>1.33</v>
      </c>
      <c r="F31" s="23">
        <f>C31*D31/E31</f>
        <v>186823.68421052629</v>
      </c>
      <c r="G31" s="73"/>
      <c r="H31" s="79" t="s">
        <v>17</v>
      </c>
      <c r="I31" s="109"/>
      <c r="J31" s="109"/>
      <c r="K31" s="109"/>
      <c r="L31" s="109"/>
      <c r="M31" s="109"/>
      <c r="N31" s="109"/>
      <c r="O31" s="109"/>
      <c r="P31" s="110"/>
      <c r="Q31" s="40"/>
      <c r="R31" s="27"/>
      <c r="S31" s="26"/>
      <c r="T31" s="24"/>
      <c r="U31" s="27"/>
      <c r="V31" s="59" t="s">
        <v>34</v>
      </c>
      <c r="W31" s="136"/>
      <c r="X31" s="142"/>
    </row>
    <row r="32" spans="1:24" x14ac:dyDescent="0.2">
      <c r="A32" s="2"/>
      <c r="B32" s="20"/>
      <c r="C32" s="21"/>
      <c r="D32" s="22"/>
      <c r="E32" s="22"/>
      <c r="F32" s="23"/>
      <c r="G32" s="73"/>
      <c r="H32" s="79"/>
      <c r="I32" s="109"/>
      <c r="J32" s="109"/>
      <c r="K32" s="109"/>
      <c r="L32" s="109"/>
      <c r="M32" s="109"/>
      <c r="N32" s="109"/>
      <c r="O32" s="109"/>
      <c r="P32" s="110"/>
      <c r="Q32" s="40"/>
      <c r="R32" s="21"/>
      <c r="S32" s="26"/>
      <c r="T32" s="40"/>
      <c r="U32" s="21"/>
      <c r="V32" s="58"/>
      <c r="W32" s="136"/>
      <c r="X32" s="142"/>
    </row>
    <row r="33" spans="1:24" ht="15.75" customHeight="1" x14ac:dyDescent="0.2">
      <c r="A33" s="10" t="s">
        <v>22</v>
      </c>
      <c r="B33" s="20"/>
      <c r="C33" s="33"/>
      <c r="D33" s="22"/>
      <c r="E33" s="22"/>
      <c r="F33" s="23"/>
      <c r="G33" s="73"/>
      <c r="H33" s="79"/>
      <c r="I33" s="86"/>
      <c r="J33" s="86"/>
      <c r="K33" s="86"/>
      <c r="L33" s="86"/>
      <c r="M33" s="86"/>
      <c r="N33" s="86"/>
      <c r="O33" s="86"/>
      <c r="P33" s="87"/>
      <c r="Q33" s="40"/>
      <c r="R33" s="27"/>
      <c r="S33" s="26"/>
      <c r="T33" s="24"/>
      <c r="U33" s="27"/>
      <c r="V33" s="58"/>
      <c r="W33" s="131"/>
      <c r="X33" s="142"/>
    </row>
    <row r="34" spans="1:24" ht="33" customHeight="1" x14ac:dyDescent="0.2">
      <c r="A34" s="61"/>
      <c r="B34" s="31" t="s">
        <v>27</v>
      </c>
      <c r="C34" s="34">
        <v>0.3</v>
      </c>
      <c r="D34" s="42">
        <f>30000000*0.997</f>
        <v>29910000</v>
      </c>
      <c r="E34" s="22">
        <v>1</v>
      </c>
      <c r="F34" s="23">
        <f>D34*C34</f>
        <v>8973000</v>
      </c>
      <c r="G34" s="73"/>
      <c r="H34" s="79">
        <v>4.7500000000000001E-2</v>
      </c>
      <c r="I34" s="93"/>
      <c r="J34" s="93"/>
      <c r="K34" s="93"/>
      <c r="L34" s="93"/>
      <c r="M34" s="93"/>
      <c r="N34" s="93"/>
      <c r="O34" s="86">
        <f>F34/1000000</f>
        <v>8.9730000000000008</v>
      </c>
      <c r="P34" s="87"/>
      <c r="Q34" s="40"/>
      <c r="R34" s="27"/>
      <c r="S34" s="26"/>
      <c r="T34" s="24"/>
      <c r="U34" s="27"/>
      <c r="V34" s="59" t="s">
        <v>35</v>
      </c>
      <c r="W34" s="132" t="s">
        <v>62</v>
      </c>
      <c r="X34" s="149"/>
    </row>
    <row r="35" spans="1:24" ht="33" customHeight="1" x14ac:dyDescent="0.2">
      <c r="A35" s="61"/>
      <c r="B35" s="31" t="s">
        <v>28</v>
      </c>
      <c r="C35" s="34">
        <f>F35/D35</f>
        <v>0.11166945840312674</v>
      </c>
      <c r="D35" s="42">
        <f>45000000*0.995</f>
        <v>44775000</v>
      </c>
      <c r="E35" s="22">
        <v>1</v>
      </c>
      <c r="F35" s="23">
        <v>5000000</v>
      </c>
      <c r="G35" s="73"/>
      <c r="H35" s="79">
        <v>5.2499999999999998E-2</v>
      </c>
      <c r="I35" s="95"/>
      <c r="J35" s="95"/>
      <c r="K35" s="95"/>
      <c r="L35" s="95"/>
      <c r="M35" s="95"/>
      <c r="N35" s="95"/>
      <c r="O35" s="109">
        <f>F35/1000000</f>
        <v>5</v>
      </c>
      <c r="P35" s="110"/>
      <c r="Q35" s="40"/>
      <c r="R35" s="27"/>
      <c r="S35" s="26"/>
      <c r="T35" s="24"/>
      <c r="U35" s="27"/>
      <c r="V35" s="59" t="s">
        <v>67</v>
      </c>
      <c r="W35" s="132" t="s">
        <v>63</v>
      </c>
      <c r="X35" s="149"/>
    </row>
    <row r="36" spans="1:24" ht="33" customHeight="1" x14ac:dyDescent="0.2">
      <c r="A36" s="61"/>
      <c r="B36" s="31" t="s">
        <v>37</v>
      </c>
      <c r="C36" s="34">
        <f>F36/D36</f>
        <v>0.66006600660065995</v>
      </c>
      <c r="D36" s="42">
        <f>75000000*0.101</f>
        <v>7575000.0000000009</v>
      </c>
      <c r="E36" s="22">
        <v>1</v>
      </c>
      <c r="F36" s="23">
        <v>5000000</v>
      </c>
      <c r="G36" s="73"/>
      <c r="H36" s="79">
        <v>5.8500000000000003E-2</v>
      </c>
      <c r="I36" s="95"/>
      <c r="J36" s="95"/>
      <c r="K36" s="95"/>
      <c r="L36" s="95"/>
      <c r="M36" s="95"/>
      <c r="N36" s="95"/>
      <c r="O36" s="109">
        <f>F36/1000000</f>
        <v>5</v>
      </c>
      <c r="P36" s="110"/>
      <c r="Q36" s="40"/>
      <c r="R36" s="27"/>
      <c r="S36" s="26"/>
      <c r="T36" s="24"/>
      <c r="U36" s="27"/>
      <c r="V36" s="59" t="s">
        <v>67</v>
      </c>
      <c r="W36" s="132" t="s">
        <v>63</v>
      </c>
      <c r="X36" s="149"/>
    </row>
    <row r="37" spans="1:24" ht="14.25" customHeight="1" x14ac:dyDescent="0.2">
      <c r="A37" s="2"/>
      <c r="B37" s="31"/>
      <c r="C37" s="33"/>
      <c r="D37" s="22"/>
      <c r="E37" s="22"/>
      <c r="F37" s="23"/>
      <c r="G37" s="73"/>
      <c r="H37" s="79"/>
      <c r="I37" s="86"/>
      <c r="J37" s="86"/>
      <c r="K37" s="86"/>
      <c r="L37" s="86"/>
      <c r="M37" s="86"/>
      <c r="N37" s="86"/>
      <c r="O37" s="86"/>
      <c r="P37" s="87"/>
      <c r="Q37" s="40"/>
      <c r="R37" s="27"/>
      <c r="S37" s="26"/>
      <c r="T37" s="24"/>
      <c r="U37" s="27"/>
      <c r="V37" s="58"/>
      <c r="W37" s="131"/>
      <c r="X37" s="142"/>
    </row>
    <row r="38" spans="1:24" ht="17.25" customHeight="1" x14ac:dyDescent="0.2">
      <c r="A38" s="10" t="s">
        <v>23</v>
      </c>
      <c r="B38" s="31"/>
      <c r="C38" s="33"/>
      <c r="D38" s="22"/>
      <c r="E38" s="22"/>
      <c r="F38" s="23"/>
      <c r="G38" s="73"/>
      <c r="H38" s="79"/>
      <c r="I38" s="86"/>
      <c r="J38" s="86"/>
      <c r="K38" s="86"/>
      <c r="L38" s="86"/>
      <c r="M38" s="86"/>
      <c r="N38" s="86"/>
      <c r="O38" s="86"/>
      <c r="P38" s="87"/>
      <c r="Q38" s="40"/>
      <c r="R38" s="27"/>
      <c r="S38" s="26"/>
      <c r="T38" s="24"/>
      <c r="U38" s="27"/>
      <c r="V38" s="58"/>
      <c r="W38" s="131"/>
      <c r="X38" s="142"/>
    </row>
    <row r="39" spans="1:24" ht="31.5" customHeight="1" x14ac:dyDescent="0.2">
      <c r="A39" s="2"/>
      <c r="B39" s="31" t="s">
        <v>29</v>
      </c>
      <c r="C39" s="50">
        <v>5000000</v>
      </c>
      <c r="D39" s="22">
        <v>1.02</v>
      </c>
      <c r="E39" s="22">
        <v>1</v>
      </c>
      <c r="F39" s="23">
        <f t="shared" ref="F39" si="0">D39*C39</f>
        <v>5100000</v>
      </c>
      <c r="G39" s="73"/>
      <c r="H39" s="79">
        <v>3.7499999999999999E-2</v>
      </c>
      <c r="I39" s="93"/>
      <c r="J39" s="93"/>
      <c r="K39" s="93"/>
      <c r="L39" s="93"/>
      <c r="M39" s="93"/>
      <c r="N39" s="86">
        <f>F39/1000000</f>
        <v>5.0999999999999996</v>
      </c>
      <c r="O39" s="86"/>
      <c r="P39" s="87"/>
      <c r="Q39" s="40"/>
      <c r="R39" s="27"/>
      <c r="S39" s="26"/>
      <c r="T39" s="24"/>
      <c r="U39" s="27"/>
      <c r="V39" s="59" t="s">
        <v>95</v>
      </c>
      <c r="W39" s="131"/>
      <c r="X39" s="149"/>
    </row>
    <row r="40" spans="1:24" ht="30" customHeight="1" x14ac:dyDescent="0.2">
      <c r="A40" s="2"/>
      <c r="B40" s="31" t="s">
        <v>45</v>
      </c>
      <c r="C40" s="50">
        <v>3000000</v>
      </c>
      <c r="D40" s="22">
        <v>1.01</v>
      </c>
      <c r="E40" s="22">
        <v>1</v>
      </c>
      <c r="F40" s="23">
        <f>D40*C40</f>
        <v>3030000</v>
      </c>
      <c r="G40" s="73"/>
      <c r="H40" s="79">
        <v>5.8000000000000003E-2</v>
      </c>
      <c r="I40" s="95"/>
      <c r="J40" s="95"/>
      <c r="K40" s="95"/>
      <c r="L40" s="95"/>
      <c r="M40" s="95"/>
      <c r="N40" s="95"/>
      <c r="O40" s="109">
        <f t="shared" ref="O40:O41" si="1">F40/1000000</f>
        <v>3.03</v>
      </c>
      <c r="P40" s="110"/>
      <c r="Q40" s="40"/>
      <c r="R40" s="27"/>
      <c r="S40" s="26"/>
      <c r="T40" s="24"/>
      <c r="U40" s="27"/>
      <c r="V40" s="59" t="s">
        <v>96</v>
      </c>
      <c r="W40" s="136"/>
      <c r="X40" s="149"/>
    </row>
    <row r="41" spans="1:24" ht="50.25" customHeight="1" x14ac:dyDescent="0.2">
      <c r="A41" s="2"/>
      <c r="B41" s="31" t="s">
        <v>46</v>
      </c>
      <c r="C41" s="50">
        <v>2000000</v>
      </c>
      <c r="D41" s="22">
        <v>0.98</v>
      </c>
      <c r="E41" s="22">
        <v>1</v>
      </c>
      <c r="F41" s="23">
        <f>D41*C41</f>
        <v>1960000</v>
      </c>
      <c r="G41" s="73"/>
      <c r="H41" s="79">
        <v>4.9500000000000002E-2</v>
      </c>
      <c r="I41" s="95"/>
      <c r="J41" s="95"/>
      <c r="K41" s="95"/>
      <c r="L41" s="95"/>
      <c r="M41" s="95"/>
      <c r="N41" s="95"/>
      <c r="O41" s="109">
        <f t="shared" si="1"/>
        <v>1.96</v>
      </c>
      <c r="P41" s="110"/>
      <c r="Q41" s="40"/>
      <c r="R41" s="27"/>
      <c r="S41" s="26"/>
      <c r="T41" s="24"/>
      <c r="U41" s="27"/>
      <c r="V41" s="59" t="s">
        <v>36</v>
      </c>
      <c r="W41" s="136"/>
      <c r="X41" s="149"/>
    </row>
    <row r="42" spans="1:24" x14ac:dyDescent="0.2">
      <c r="A42" s="3"/>
      <c r="B42" s="56"/>
      <c r="C42" s="44"/>
      <c r="D42" s="45"/>
      <c r="E42" s="45"/>
      <c r="F42" s="46"/>
      <c r="G42" s="71"/>
      <c r="H42" s="80"/>
      <c r="I42" s="88"/>
      <c r="J42" s="88"/>
      <c r="K42" s="88"/>
      <c r="L42" s="88"/>
      <c r="M42" s="88"/>
      <c r="N42" s="88"/>
      <c r="O42" s="88"/>
      <c r="P42" s="89"/>
      <c r="Q42" s="47"/>
      <c r="R42" s="44"/>
      <c r="S42" s="48"/>
      <c r="T42" s="47"/>
      <c r="U42" s="44"/>
      <c r="V42" s="60"/>
      <c r="W42" s="133"/>
      <c r="X42" s="143"/>
    </row>
    <row r="43" spans="1:24" x14ac:dyDescent="0.2">
      <c r="H43" s="66"/>
      <c r="I43" s="66"/>
      <c r="J43" s="66"/>
      <c r="K43" s="66"/>
      <c r="L43" s="66"/>
      <c r="M43" s="66"/>
      <c r="N43" s="66"/>
      <c r="O43" s="66"/>
      <c r="P43" s="66"/>
      <c r="X43" s="142"/>
    </row>
    <row r="44" spans="1:24" x14ac:dyDescent="0.2">
      <c r="A44" s="64"/>
      <c r="B44" s="63"/>
      <c r="C44" s="8" t="s">
        <v>13</v>
      </c>
      <c r="D44" s="8"/>
      <c r="E44" s="8"/>
      <c r="F44" s="52">
        <f>SUM(F7:F42)</f>
        <v>97623024.874277085</v>
      </c>
      <c r="H44" s="99">
        <f>SUM(F8*H8+F9*H9+F12*H12+F13*H13+F10*H10+F11*H11+F14*H14+F15*H15+F18*H18+F19*H19+F20*H20+F21*H21+F34*H34+F35*H35+F36*H36+F39*H39+F40*H40+F41*H41)/F44</f>
        <v>3.1871812987923312E-2</v>
      </c>
      <c r="I44" s="90">
        <f t="shared" ref="I44:P44" si="2">SUM(I6:I42)</f>
        <v>11.292886691729322</v>
      </c>
      <c r="J44" s="90">
        <f t="shared" si="2"/>
        <v>11</v>
      </c>
      <c r="K44" s="90">
        <f t="shared" si="2"/>
        <v>16.954899999999999</v>
      </c>
      <c r="L44" s="90">
        <f t="shared" si="2"/>
        <v>19.13</v>
      </c>
      <c r="M44" s="90">
        <f t="shared" si="2"/>
        <v>8.4194151053864168</v>
      </c>
      <c r="N44" s="90">
        <f t="shared" si="2"/>
        <v>7.1</v>
      </c>
      <c r="O44" s="90">
        <f t="shared" si="2"/>
        <v>23.723000000000003</v>
      </c>
      <c r="P44" s="90">
        <f t="shared" si="2"/>
        <v>0</v>
      </c>
      <c r="S44" s="8" t="s">
        <v>13</v>
      </c>
      <c r="T44" s="53" t="e">
        <f>SUM(F8*T8,F9*T9,F11*T11,F18*T18,F19*T19,#REF!*#REF!,-C24*R24,-F28*T28,-F29*T29,-F30*T30)*85%</f>
        <v>#REF!</v>
      </c>
      <c r="U44" s="53" t="e">
        <f>SUM(F8*U8,F9*U9,F11*U11,F18*U18,F19*U19,#REF!*#REF!,C24*U24,F28*U28,F29*U29,F30*U30)</f>
        <v>#REF!</v>
      </c>
      <c r="V44" s="144">
        <f>SUM(I44:P44)</f>
        <v>97.620201797115726</v>
      </c>
      <c r="X44" s="142"/>
    </row>
    <row r="45" spans="1:24" x14ac:dyDescent="0.2">
      <c r="A45" s="64"/>
      <c r="B45" s="62"/>
      <c r="H45" s="128" t="s">
        <v>60</v>
      </c>
      <c r="R45" s="51"/>
      <c r="T45" s="55" t="s">
        <v>18</v>
      </c>
      <c r="X45" s="142"/>
    </row>
    <row r="46" spans="1:24" x14ac:dyDescent="0.2">
      <c r="A46" s="1"/>
      <c r="B46" s="19"/>
      <c r="E46" s="75"/>
      <c r="F46" s="91" t="s">
        <v>38</v>
      </c>
      <c r="G46" s="91"/>
      <c r="H46" s="91"/>
      <c r="I46" s="68">
        <f>I44*1000000/$F$44</f>
        <v>0.11567851647982391</v>
      </c>
      <c r="J46" s="68">
        <f>SUM(I44:J44)*1000000/$F$44</f>
        <v>0.22835685249908011</v>
      </c>
      <c r="K46" s="68">
        <f>SUM(I44:K44)*1000000/$F$44</f>
        <v>0.40203411789661525</v>
      </c>
      <c r="L46" s="68">
        <f>SUM(I44:L44)*1000000/$F$44</f>
        <v>0.59799198771919437</v>
      </c>
      <c r="M46" s="68">
        <f>SUM(I44:M44)*1000000/$F$44</f>
        <v>0.68423614084013373</v>
      </c>
      <c r="N46" s="68">
        <f>SUM(I44:N44)*1000000/$F$44</f>
        <v>0.75696488499801717</v>
      </c>
      <c r="O46" s="68">
        <f>SUM(I44:O44)*1000000/$F$44</f>
        <v>0.99997108185118222</v>
      </c>
      <c r="P46" s="68">
        <f>SUM(I44:P44)*1000000/$F$44</f>
        <v>0.99997108185118222</v>
      </c>
      <c r="X46" s="142"/>
    </row>
    <row r="47" spans="1:24" hidden="1" x14ac:dyDescent="0.2">
      <c r="A47" s="100"/>
      <c r="B47" s="101"/>
      <c r="C47" s="102"/>
      <c r="D47" s="102"/>
      <c r="E47" s="103"/>
      <c r="F47" s="104"/>
      <c r="G47" s="104"/>
      <c r="H47" s="104"/>
      <c r="I47" s="105"/>
      <c r="J47" s="105"/>
      <c r="K47" s="105"/>
      <c r="L47" s="105"/>
      <c r="M47" s="105"/>
      <c r="N47" s="105"/>
      <c r="O47" s="105"/>
      <c r="P47" s="105"/>
      <c r="Q47" s="102"/>
      <c r="R47" s="102"/>
      <c r="S47" s="102"/>
      <c r="T47" s="102"/>
      <c r="U47" s="102"/>
      <c r="V47" s="102"/>
      <c r="W47" s="102"/>
      <c r="X47" s="142"/>
    </row>
    <row r="48" spans="1:24" hidden="1" x14ac:dyDescent="0.2">
      <c r="B48" s="8"/>
      <c r="H48" s="66"/>
      <c r="X48" s="142"/>
    </row>
    <row r="49" spans="1:24" hidden="1" x14ac:dyDescent="0.2">
      <c r="B49" s="70" t="s">
        <v>44</v>
      </c>
      <c r="H49" s="66"/>
      <c r="J49" s="65" t="s">
        <v>43</v>
      </c>
      <c r="X49" s="142"/>
    </row>
    <row r="50" spans="1:24" hidden="1" x14ac:dyDescent="0.2">
      <c r="A50" s="153"/>
      <c r="B50" s="154"/>
      <c r="C50" s="154"/>
      <c r="D50" s="155">
        <v>42460</v>
      </c>
      <c r="E50" s="156"/>
      <c r="F50" s="157"/>
      <c r="G50" s="71"/>
      <c r="H50" s="76" t="s">
        <v>10</v>
      </c>
      <c r="I50" s="158" t="s">
        <v>21</v>
      </c>
      <c r="J50" s="158"/>
      <c r="K50" s="158"/>
      <c r="L50" s="158"/>
      <c r="M50" s="158"/>
      <c r="N50" s="158"/>
      <c r="O50" s="158"/>
      <c r="P50" s="159"/>
      <c r="Q50" s="160" t="s">
        <v>10</v>
      </c>
      <c r="R50" s="161"/>
      <c r="S50" s="162"/>
      <c r="T50" s="160" t="s">
        <v>11</v>
      </c>
      <c r="U50" s="162"/>
      <c r="V50" s="4"/>
      <c r="W50" s="134"/>
      <c r="X50" s="142"/>
    </row>
    <row r="51" spans="1:24" ht="16" hidden="1" x14ac:dyDescent="0.2">
      <c r="A51" s="163" t="s">
        <v>6</v>
      </c>
      <c r="B51" s="164"/>
      <c r="C51" s="6" t="s">
        <v>2</v>
      </c>
      <c r="D51" s="97" t="s">
        <v>3</v>
      </c>
      <c r="E51" s="6" t="s">
        <v>5</v>
      </c>
      <c r="F51" s="5" t="s">
        <v>16</v>
      </c>
      <c r="G51" s="71"/>
      <c r="H51" s="77" t="s">
        <v>7</v>
      </c>
      <c r="I51" s="6">
        <v>1</v>
      </c>
      <c r="J51" s="6">
        <v>2</v>
      </c>
      <c r="K51" s="6">
        <v>5</v>
      </c>
      <c r="L51" s="6">
        <v>10</v>
      </c>
      <c r="M51" s="6">
        <v>30</v>
      </c>
      <c r="N51" s="6">
        <v>60</v>
      </c>
      <c r="O51" s="6">
        <v>180</v>
      </c>
      <c r="P51" s="5">
        <v>360</v>
      </c>
      <c r="Q51" s="97" t="s">
        <v>7</v>
      </c>
      <c r="R51" s="6" t="s">
        <v>12</v>
      </c>
      <c r="S51" s="5" t="s">
        <v>8</v>
      </c>
      <c r="T51" s="97" t="s">
        <v>4</v>
      </c>
      <c r="U51" s="5" t="s">
        <v>9</v>
      </c>
      <c r="V51" s="7" t="s">
        <v>30</v>
      </c>
      <c r="W51" s="135" t="s">
        <v>41</v>
      </c>
      <c r="X51" s="142"/>
    </row>
    <row r="52" spans="1:24" hidden="1" x14ac:dyDescent="0.2">
      <c r="A52" s="9"/>
      <c r="B52" s="11"/>
      <c r="C52" s="13"/>
      <c r="D52" s="113"/>
      <c r="E52" s="113"/>
      <c r="F52" s="114"/>
      <c r="G52" s="71"/>
      <c r="H52" s="117"/>
      <c r="I52" s="118"/>
      <c r="J52" s="118"/>
      <c r="K52" s="118"/>
      <c r="L52" s="118"/>
      <c r="M52" s="118"/>
      <c r="N52" s="118"/>
      <c r="O52" s="118"/>
      <c r="P52" s="107"/>
      <c r="Q52" s="119"/>
      <c r="R52" s="13"/>
      <c r="S52" s="96"/>
      <c r="T52" s="119"/>
      <c r="U52" s="13"/>
      <c r="V52" s="120"/>
      <c r="W52" s="134"/>
      <c r="X52" s="142"/>
    </row>
    <row r="53" spans="1:24" hidden="1" x14ac:dyDescent="0.2">
      <c r="A53" s="10" t="s">
        <v>14</v>
      </c>
      <c r="B53" s="67"/>
      <c r="C53" s="14"/>
      <c r="D53" s="16"/>
      <c r="E53" s="16"/>
      <c r="F53" s="15"/>
      <c r="G53" s="72"/>
      <c r="H53" s="78"/>
      <c r="I53" s="106"/>
      <c r="J53" s="106"/>
      <c r="K53" s="106"/>
      <c r="L53" s="106"/>
      <c r="M53" s="106"/>
      <c r="N53" s="106"/>
      <c r="O53" s="106"/>
      <c r="P53" s="108"/>
      <c r="Q53" s="17"/>
      <c r="R53" s="14"/>
      <c r="S53" s="18"/>
      <c r="T53" s="17"/>
      <c r="U53" s="14"/>
      <c r="V53" s="58"/>
      <c r="W53" s="136"/>
      <c r="X53" s="142"/>
    </row>
    <row r="54" spans="1:24" hidden="1" x14ac:dyDescent="0.2">
      <c r="A54" s="2"/>
      <c r="B54" s="31"/>
      <c r="C54" s="33"/>
      <c r="D54" s="22"/>
      <c r="E54" s="22"/>
      <c r="F54" s="23"/>
      <c r="G54" s="73"/>
      <c r="H54" s="79"/>
      <c r="I54" s="109"/>
      <c r="J54" s="109"/>
      <c r="K54" s="109"/>
      <c r="L54" s="109"/>
      <c r="M54" s="109"/>
      <c r="N54" s="109"/>
      <c r="O54" s="109"/>
      <c r="P54" s="110"/>
      <c r="Q54" s="24"/>
      <c r="R54" s="25"/>
      <c r="S54" s="26"/>
      <c r="T54" s="24"/>
      <c r="U54" s="27"/>
      <c r="V54" s="59"/>
      <c r="W54" s="136"/>
      <c r="X54" s="142"/>
    </row>
    <row r="55" spans="1:24" hidden="1" x14ac:dyDescent="0.2">
      <c r="A55" s="10" t="s">
        <v>0</v>
      </c>
      <c r="B55" s="20"/>
      <c r="C55" s="21"/>
      <c r="D55" s="22"/>
      <c r="E55" s="22"/>
      <c r="F55" s="23"/>
      <c r="G55" s="73"/>
      <c r="H55" s="79"/>
      <c r="I55" s="109"/>
      <c r="J55" s="109"/>
      <c r="K55" s="109"/>
      <c r="L55" s="109"/>
      <c r="M55" s="109"/>
      <c r="N55" s="109"/>
      <c r="O55" s="109"/>
      <c r="P55" s="110"/>
      <c r="Q55" s="40"/>
      <c r="R55" s="21"/>
      <c r="S55" s="26"/>
      <c r="T55" s="40"/>
      <c r="U55" s="21"/>
      <c r="V55" s="59"/>
      <c r="W55" s="136"/>
      <c r="X55" s="142"/>
    </row>
    <row r="56" spans="1:24" hidden="1" x14ac:dyDescent="0.2">
      <c r="A56" s="10" t="s">
        <v>22</v>
      </c>
      <c r="B56" s="49"/>
      <c r="C56" s="50"/>
      <c r="D56" s="34"/>
      <c r="E56" s="34"/>
      <c r="F56" s="35"/>
      <c r="G56" s="74"/>
      <c r="H56" s="79"/>
      <c r="I56" s="111"/>
      <c r="J56" s="111"/>
      <c r="K56" s="111"/>
      <c r="L56" s="111"/>
      <c r="M56" s="111"/>
      <c r="N56" s="111"/>
      <c r="O56" s="111"/>
      <c r="P56" s="112"/>
      <c r="Q56" s="36"/>
      <c r="R56" s="39"/>
      <c r="S56" s="38"/>
      <c r="T56" s="24"/>
      <c r="U56" s="30"/>
      <c r="V56" s="59"/>
      <c r="W56" s="136"/>
      <c r="X56" s="142"/>
    </row>
    <row r="57" spans="1:24" hidden="1" x14ac:dyDescent="0.2">
      <c r="A57" s="2"/>
      <c r="B57" s="67"/>
      <c r="C57" s="33"/>
      <c r="D57" s="22"/>
      <c r="E57" s="22"/>
      <c r="F57" s="115"/>
      <c r="G57" s="73"/>
      <c r="H57" s="79"/>
      <c r="I57" s="109"/>
      <c r="J57" s="109"/>
      <c r="K57" s="109"/>
      <c r="L57" s="109"/>
      <c r="M57" s="109"/>
      <c r="N57" s="109"/>
      <c r="O57" s="109"/>
      <c r="P57" s="110"/>
      <c r="Q57" s="40"/>
      <c r="R57" s="27"/>
      <c r="S57" s="26"/>
      <c r="T57" s="24"/>
      <c r="U57" s="27"/>
      <c r="V57" s="58"/>
      <c r="W57" s="136"/>
      <c r="X57" s="142"/>
    </row>
    <row r="58" spans="1:24" hidden="1" x14ac:dyDescent="0.2">
      <c r="A58" s="10" t="s">
        <v>23</v>
      </c>
      <c r="B58" s="31"/>
      <c r="C58" s="33"/>
      <c r="D58" s="22"/>
      <c r="E58" s="22"/>
      <c r="F58" s="23"/>
      <c r="G58" s="73"/>
      <c r="H58" s="79"/>
      <c r="I58" s="109"/>
      <c r="J58" s="109"/>
      <c r="K58" s="109"/>
      <c r="L58" s="109"/>
      <c r="M58" s="109"/>
      <c r="N58" s="109"/>
      <c r="O58" s="109"/>
      <c r="P58" s="110"/>
      <c r="Q58" s="40"/>
      <c r="R58" s="27"/>
      <c r="S58" s="26"/>
      <c r="T58" s="24"/>
      <c r="U58" s="27"/>
      <c r="V58" s="58"/>
      <c r="W58" s="136"/>
      <c r="X58" s="142"/>
    </row>
    <row r="59" spans="1:24" hidden="1" x14ac:dyDescent="0.2">
      <c r="A59" s="3"/>
      <c r="B59" s="56"/>
      <c r="C59" s="116"/>
      <c r="D59" s="45"/>
      <c r="E59" s="45"/>
      <c r="F59" s="46"/>
      <c r="G59" s="73"/>
      <c r="H59" s="80"/>
      <c r="I59" s="121"/>
      <c r="J59" s="121"/>
      <c r="K59" s="121"/>
      <c r="L59" s="121"/>
      <c r="M59" s="121"/>
      <c r="N59" s="121"/>
      <c r="O59" s="121"/>
      <c r="P59" s="122"/>
      <c r="Q59" s="47"/>
      <c r="R59" s="123"/>
      <c r="S59" s="48"/>
      <c r="T59" s="124"/>
      <c r="U59" s="123"/>
      <c r="V59" s="125"/>
      <c r="W59" s="137"/>
      <c r="X59" s="143"/>
    </row>
    <row r="60" spans="1:24" hidden="1" x14ac:dyDescent="0.2"/>
    <row r="61" spans="1:24" hidden="1" x14ac:dyDescent="0.2">
      <c r="C61" s="8" t="s">
        <v>13</v>
      </c>
      <c r="D61" s="8"/>
      <c r="E61" s="8"/>
      <c r="F61" s="52">
        <f>SUM(F44,F10:F60)</f>
        <v>283670864.62283128</v>
      </c>
      <c r="H61" s="99">
        <f>SUM(F8*H8+F9*H9+F12*H12+F18*H18+F19*H19+F34*H34+F39*H39+F13*H13+F10*H10+F11*H11+F14*H14+F15*H15+F20*H20+F21*H21+F35*H35+F36*H36+F40*H40+F41*H41)/F61</f>
        <v>1.0968425665587095E-2</v>
      </c>
      <c r="I61" s="90">
        <f t="shared" ref="I61:P61" si="3">SUM(I10:I58,I44)</f>
        <v>30.84712859166779</v>
      </c>
      <c r="J61" s="90">
        <f t="shared" si="3"/>
        <v>31.228356852499079</v>
      </c>
      <c r="K61" s="90">
        <f t="shared" si="3"/>
        <v>55.215734117896616</v>
      </c>
      <c r="L61" s="90">
        <f t="shared" si="3"/>
        <v>67.987991987719198</v>
      </c>
      <c r="M61" s="90">
        <f t="shared" si="3"/>
        <v>55.942481456999388</v>
      </c>
      <c r="N61" s="90">
        <f t="shared" si="3"/>
        <v>82.05696488499801</v>
      </c>
      <c r="O61" s="90">
        <f t="shared" si="3"/>
        <v>252.1689710818512</v>
      </c>
      <c r="P61" s="90">
        <f t="shared" si="3"/>
        <v>360.99997108185119</v>
      </c>
      <c r="S61" s="8" t="s">
        <v>13</v>
      </c>
      <c r="T61" s="53" t="e">
        <f>SUM(F26*T26,F27*T27,F76*T76,F31*T31,F32*T32,#REF!*#REF!,-C85*R85,-F89*T89,-F90*T90,-F91*T91)*85%</f>
        <v>#VALUE!</v>
      </c>
      <c r="U61" s="53" t="e">
        <f>SUM(F26*U26,F27*U27,F76*U76,F31*U31,F32*U32,#REF!*#REF!,C85*U85,F89*U89,F90*U90,F91*U91)</f>
        <v>#REF!</v>
      </c>
      <c r="V61" s="57"/>
      <c r="W61" s="129">
        <f>F61-SUM(F24:F31)</f>
        <v>282668041.54566991</v>
      </c>
    </row>
    <row r="62" spans="1:24" hidden="1" x14ac:dyDescent="0.2">
      <c r="H62" s="128" t="s">
        <v>69</v>
      </c>
      <c r="R62" s="51"/>
      <c r="T62" s="55" t="s">
        <v>18</v>
      </c>
    </row>
    <row r="63" spans="1:24" hidden="1" x14ac:dyDescent="0.2">
      <c r="E63" s="75"/>
      <c r="F63" s="91" t="s">
        <v>65</v>
      </c>
      <c r="G63" s="91"/>
      <c r="H63" s="92" t="s">
        <v>66</v>
      </c>
      <c r="I63" s="68">
        <f>I61*1000000/$W$61</f>
        <v>0.10912846186286645</v>
      </c>
      <c r="J63" s="68">
        <f>SUM(I61:J61)*1000000/$W$61</f>
        <v>0.21960560205083354</v>
      </c>
      <c r="K63" s="68">
        <f>SUM(I61:K61)*1000000/$W$61</f>
        <v>0.41494333395702626</v>
      </c>
      <c r="L63" s="68">
        <f>SUM(I61:L61)*1000000/$W$61</f>
        <v>0.6554657206263893</v>
      </c>
      <c r="M63" s="68">
        <f>SUM(I61:M61)*1000000/$W$61</f>
        <v>0.85337448014196027</v>
      </c>
      <c r="N63" s="68">
        <f>SUM(I61:N61)*1000000/$W$61</f>
        <v>1.1436689345001487</v>
      </c>
      <c r="O63" s="68">
        <f>SUM(I61:O61)*1000000/$W$61</f>
        <v>2.0357718043645825</v>
      </c>
      <c r="P63" s="68">
        <f>SUM(I61:P61)*1000000/$W$61</f>
        <v>3.3128881317281249</v>
      </c>
    </row>
    <row r="64" spans="1:24" hidden="1" x14ac:dyDescent="0.2">
      <c r="D64" s="126"/>
      <c r="E64" s="126"/>
      <c r="F64" s="127" t="s">
        <v>64</v>
      </c>
      <c r="G64" s="126"/>
      <c r="H64" s="139">
        <v>1.8871091869209333E-2</v>
      </c>
      <c r="I64" s="126">
        <v>0.16999652836372298</v>
      </c>
      <c r="J64" s="126">
        <v>0.36932868808084701</v>
      </c>
      <c r="K64" s="126">
        <v>0.59700403853880257</v>
      </c>
      <c r="L64" s="126">
        <v>0.78165665896554992</v>
      </c>
      <c r="M64" s="126">
        <v>0.86250280794110623</v>
      </c>
      <c r="N64" s="126">
        <v>0.91000183792508771</v>
      </c>
      <c r="O64" s="126">
        <v>0.99999999999999989</v>
      </c>
      <c r="P64" s="126">
        <v>0.99999999999999989</v>
      </c>
    </row>
    <row r="65" spans="4:16" hidden="1" x14ac:dyDescent="0.2">
      <c r="I65" s="130" t="s">
        <v>17</v>
      </c>
      <c r="J65" s="130" t="s">
        <v>17</v>
      </c>
      <c r="K65" s="130" t="s">
        <v>68</v>
      </c>
      <c r="L65" s="130" t="s">
        <v>17</v>
      </c>
      <c r="M65" s="130" t="s">
        <v>17</v>
      </c>
      <c r="N65" s="130" t="s">
        <v>17</v>
      </c>
      <c r="O65" s="130" t="s">
        <v>47</v>
      </c>
      <c r="P65" s="130" t="s">
        <v>47</v>
      </c>
    </row>
    <row r="66" spans="4:16" hidden="1" x14ac:dyDescent="0.2">
      <c r="D66" s="140" t="s">
        <v>70</v>
      </c>
      <c r="E66" s="140"/>
      <c r="F66" s="140"/>
      <c r="G66" s="140"/>
      <c r="H66" s="140"/>
      <c r="I66" s="140"/>
      <c r="J66" s="98"/>
      <c r="K66" s="98"/>
      <c r="L66" s="98"/>
      <c r="M66" s="98"/>
      <c r="N66" s="98"/>
      <c r="O66" s="98"/>
      <c r="P66" s="98"/>
    </row>
    <row r="67" spans="4:16" ht="30" hidden="1" customHeight="1" x14ac:dyDescent="0.2">
      <c r="D67" s="150" t="s">
        <v>87</v>
      </c>
      <c r="E67" s="151"/>
      <c r="F67" s="151"/>
      <c r="G67" s="151"/>
      <c r="H67" s="151"/>
      <c r="I67" s="151"/>
      <c r="J67" s="151"/>
      <c r="K67" s="151"/>
      <c r="L67" s="151"/>
      <c r="M67" s="151"/>
      <c r="N67" s="151"/>
      <c r="O67" s="151"/>
      <c r="P67" s="152"/>
    </row>
    <row r="68" spans="4:16" x14ac:dyDescent="0.2"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</row>
  </sheetData>
  <mergeCells count="13">
    <mergeCell ref="T50:U50"/>
    <mergeCell ref="A51:B51"/>
    <mergeCell ref="A4:C4"/>
    <mergeCell ref="D4:F4"/>
    <mergeCell ref="I4:P4"/>
    <mergeCell ref="Q4:S4"/>
    <mergeCell ref="T4:U4"/>
    <mergeCell ref="A5:B5"/>
    <mergeCell ref="D67:P67"/>
    <mergeCell ref="A50:C50"/>
    <mergeCell ref="D50:F50"/>
    <mergeCell ref="I50:P50"/>
    <mergeCell ref="Q50:S50"/>
  </mergeCells>
  <pageMargins left="0.45" right="0.45" top="0.5" bottom="0.5" header="0.3" footer="0.3"/>
  <pageSetup scale="57" orientation="landscape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VBFO new port</vt:lpstr>
      <vt:lpstr>VBFO new port stress SV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lindo</dc:creator>
  <cp:lastModifiedBy>Microsoft Office User</cp:lastModifiedBy>
  <cp:lastPrinted>2016-02-19T13:15:15Z</cp:lastPrinted>
  <dcterms:created xsi:type="dcterms:W3CDTF">2016-01-18T17:21:04Z</dcterms:created>
  <dcterms:modified xsi:type="dcterms:W3CDTF">2019-12-02T05:20:25Z</dcterms:modified>
</cp:coreProperties>
</file>